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2"/>
  </bookViews>
  <sheets>
    <sheet name="Ecuacion INSHT" sheetId="1" r:id="rId1"/>
    <sheet name="Ficha 2" sheetId="2" r:id="rId2"/>
    <sheet name="NIOSH" sheetId="3" r:id="rId3"/>
  </sheets>
  <definedNames/>
  <calcPr fullCalcOnLoad="1"/>
</workbook>
</file>

<file path=xl/sharedStrings.xml><?xml version="1.0" encoding="utf-8"?>
<sst xmlns="http://schemas.openxmlformats.org/spreadsheetml/2006/main" count="318" uniqueCount="193">
  <si>
    <t>FICHA 1 RECOGIDA DE DATOS</t>
  </si>
  <si>
    <t>FICHA 1</t>
  </si>
  <si>
    <t>F1A ) DATOS DE LA MANIPULACIÓN</t>
  </si>
  <si>
    <t>PESO REAL DE LA CARGA</t>
  </si>
  <si>
    <t>KG</t>
  </si>
  <si>
    <t>DATOS PARA EL CÁLCULO DEL PESO ACEPTABLE</t>
  </si>
  <si>
    <t xml:space="preserve">PESO RECOMENDADO </t>
  </si>
  <si>
    <t xml:space="preserve">EN FUNCIÓN DE LA ZONA </t>
  </si>
  <si>
    <t>DE MANIPULACIÓN</t>
  </si>
  <si>
    <t>DESPLAZAMIENTO VERTICAL</t>
  </si>
  <si>
    <t>HASTA 25 CM</t>
  </si>
  <si>
    <t>HASTA 50 CM</t>
  </si>
  <si>
    <t>HASTA 100 CM</t>
  </si>
  <si>
    <t>HASTA 175 CM</t>
  </si>
  <si>
    <t>MÁS DE 175 CM</t>
  </si>
  <si>
    <t>FACTOR DE CORRECCIÓN</t>
  </si>
  <si>
    <t xml:space="preserve">GIRO DEL TRONCO </t>
  </si>
  <si>
    <t>SIN GIRO</t>
  </si>
  <si>
    <t>GIRADO</t>
  </si>
  <si>
    <t>MUY GIRADO</t>
  </si>
  <si>
    <t>POCO GIRADO (HASTA 30º)</t>
  </si>
  <si>
    <t>TIPO DE AGARRE</t>
  </si>
  <si>
    <t>AGARRE BUENO</t>
  </si>
  <si>
    <t>AGARRE REGULAR</t>
  </si>
  <si>
    <t>AGARRE MALO</t>
  </si>
  <si>
    <t>FRECUENCIA DE LA MANIPULACIÓN</t>
  </si>
  <si>
    <t>DURACIÓN DE LA MANIPULACIÓN</t>
  </si>
  <si>
    <t>&lt;1h / día</t>
  </si>
  <si>
    <t>&gt;1 y &lt; 2 h</t>
  </si>
  <si>
    <t>&gt;2h y &lt; 8 h</t>
  </si>
  <si>
    <t>1 vez cada 5 minutos</t>
  </si>
  <si>
    <t>1  vez /minuto</t>
  </si>
  <si>
    <t>4 veces /minuto</t>
  </si>
  <si>
    <t>9 veces/minuto</t>
  </si>
  <si>
    <t>12 veces /minuto</t>
  </si>
  <si>
    <t>&gt; 15 veces/minuto</t>
  </si>
  <si>
    <t>PESO TOTAL TRANSPORTADO DIARIAMENTE</t>
  </si>
  <si>
    <t>DISTANCIA DE TRANSPORTE</t>
  </si>
  <si>
    <t>m</t>
  </si>
  <si>
    <t>Kg</t>
  </si>
  <si>
    <t>FICHA 2</t>
  </si>
  <si>
    <t>CALCULO DE PESO ACEPTABLE</t>
  </si>
  <si>
    <t>SELECCIONAR EL PESO TEÓRICO RECOMENDADO</t>
  </si>
  <si>
    <t>CÁLCULO DEL PESO ACEPTABLE</t>
  </si>
  <si>
    <t>,</t>
  </si>
  <si>
    <t>13 7</t>
  </si>
  <si>
    <t>19 11</t>
  </si>
  <si>
    <t xml:space="preserve">25 13 </t>
  </si>
  <si>
    <t xml:space="preserve">20 12 </t>
  </si>
  <si>
    <t>14 8</t>
  </si>
  <si>
    <t>F1B)</t>
  </si>
  <si>
    <t>DATOS ERGONÓMICOS</t>
  </si>
  <si>
    <t>¿Se inclina el tronco al manipular la carga?</t>
  </si>
  <si>
    <t>¿Se ejercen fuerzas de empuje o tracción elevadas?</t>
  </si>
  <si>
    <t>¿Puede ser peligrosa la superficie de la carga?</t>
  </si>
  <si>
    <t>¿Se puede desplazar el centro de gravedad?</t>
  </si>
  <si>
    <t xml:space="preserve">¿Se pueden mover las cargas de forma brusca e inesperada? </t>
  </si>
  <si>
    <t>¿Son suficientes las pausas?</t>
  </si>
  <si>
    <t>¿Carece el trabajador de autonomía para regular su trabajo?</t>
  </si>
  <si>
    <t>¿Se realiza la tarea con el cuerpo en posición inestable?</t>
  </si>
  <si>
    <t>¿Son los suelos irregulares o resbaladizos para el calzado del trabajador?</t>
  </si>
  <si>
    <t>¿Hay que salvar desniveles del suelo durante la manipulación?</t>
  </si>
  <si>
    <t>¿Está expuesto el trabajador a vibraciones?</t>
  </si>
  <si>
    <t>¿El tamaño de la carga es mayor de 60 x 60 cm?</t>
  </si>
  <si>
    <t>¿Es insuficiente el espacio de trabajo para una manipulación correcta?</t>
  </si>
  <si>
    <t>¿Se realiza la manipulación en condiciones termohigrométricas extremas?</t>
  </si>
  <si>
    <t>¿Existen corrientes de aire o ráfagas de viento que puedan desequilibrar la carga?</t>
  </si>
  <si>
    <t>¿Es deficiente la iluminación para la manipulación ?</t>
  </si>
  <si>
    <t>OBSEVACIONES</t>
  </si>
  <si>
    <t>SI</t>
  </si>
  <si>
    <t>NO</t>
  </si>
  <si>
    <t>ECUACION DE NIOSH</t>
  </si>
  <si>
    <t>HM</t>
  </si>
  <si>
    <t>H(cm)</t>
  </si>
  <si>
    <t>&lt; 25</t>
  </si>
  <si>
    <t>&gt;63</t>
  </si>
  <si>
    <t>VM</t>
  </si>
  <si>
    <t xml:space="preserve"> 25/H</t>
  </si>
  <si>
    <t>HM =</t>
  </si>
  <si>
    <t>VM =</t>
  </si>
  <si>
    <t>1-0,003 [V-75]</t>
  </si>
  <si>
    <t>V(cm)</t>
  </si>
  <si>
    <t>&gt;175</t>
  </si>
  <si>
    <t>0,82 + 4,5 /D</t>
  </si>
  <si>
    <t>&lt;25</t>
  </si>
  <si>
    <t>D(cm)</t>
  </si>
  <si>
    <t>DM</t>
  </si>
  <si>
    <t>AM =</t>
  </si>
  <si>
    <t>DM =</t>
  </si>
  <si>
    <t>1 - 0,0032 A</t>
  </si>
  <si>
    <t>A (º)</t>
  </si>
  <si>
    <t>AM</t>
  </si>
  <si>
    <t>&gt;135</t>
  </si>
  <si>
    <t>BUENO</t>
  </si>
  <si>
    <t>REGULAR</t>
  </si>
  <si>
    <t>MALO</t>
  </si>
  <si>
    <t xml:space="preserve">Tipo de </t>
  </si>
  <si>
    <t>Acoplamiento</t>
  </si>
  <si>
    <t>V &lt; 75 cm</t>
  </si>
  <si>
    <t>V &gt; 75 cm</t>
  </si>
  <si>
    <t xml:space="preserve">            CM</t>
  </si>
  <si>
    <r>
      <t>Tabla 1</t>
    </r>
    <r>
      <rPr>
        <sz val="8"/>
        <rFont val="Arial"/>
        <family val="2"/>
      </rPr>
      <t>. Multiplicador HM</t>
    </r>
  </si>
  <si>
    <r>
      <t>Tabla 2</t>
    </r>
    <r>
      <rPr>
        <sz val="8"/>
        <rFont val="Arial"/>
        <family val="2"/>
      </rPr>
      <t>. Multiplicador VM</t>
    </r>
  </si>
  <si>
    <r>
      <t>Tabla 3</t>
    </r>
    <r>
      <rPr>
        <sz val="8"/>
        <rFont val="Arial"/>
        <family val="2"/>
      </rPr>
      <t>. Multiplicador desplaz.</t>
    </r>
  </si>
  <si>
    <r>
      <t>Tabla 4</t>
    </r>
    <r>
      <rPr>
        <sz val="8"/>
        <rFont val="Arial"/>
        <family val="2"/>
      </rPr>
      <t>. Multiplicador de asimetría</t>
    </r>
  </si>
  <si>
    <r>
      <t>Tabla 6</t>
    </r>
    <r>
      <rPr>
        <sz val="8"/>
        <rFont val="Arial"/>
        <family val="2"/>
      </rPr>
      <t>. Multiplicador de Acoplamiento (CM)</t>
    </r>
  </si>
  <si>
    <t>Frecuencia (f)</t>
  </si>
  <si>
    <t>lev / min</t>
  </si>
  <si>
    <t xml:space="preserve">              t &lt; 1 h</t>
  </si>
  <si>
    <t>V &gt; 75</t>
  </si>
  <si>
    <t>V &lt; 75</t>
  </si>
  <si>
    <t>&gt;0,2</t>
  </si>
  <si>
    <t>&gt;15</t>
  </si>
  <si>
    <t xml:space="preserve">  1 h &lt; t &lt; 2 h</t>
  </si>
  <si>
    <t xml:space="preserve">          2h &lt; t &lt; 8 h</t>
  </si>
  <si>
    <r>
      <t>Tabla 5</t>
    </r>
    <r>
      <rPr>
        <sz val="8"/>
        <rFont val="Arial"/>
        <family val="2"/>
      </rPr>
      <t>. Multiplicador de Frecuencia (FM)</t>
    </r>
  </si>
  <si>
    <t>LPR = LC * HM * VM * DM * AM* FM * CM</t>
  </si>
  <si>
    <t xml:space="preserve">H = </t>
  </si>
  <si>
    <t>V =</t>
  </si>
  <si>
    <t>D =</t>
  </si>
  <si>
    <t>A =</t>
  </si>
  <si>
    <t>C =</t>
  </si>
  <si>
    <t>F =</t>
  </si>
  <si>
    <t>FM =</t>
  </si>
  <si>
    <t>LC =</t>
  </si>
  <si>
    <t xml:space="preserve">LPR = </t>
  </si>
  <si>
    <t>=</t>
  </si>
  <si>
    <t>kg  ¡¡constante!!</t>
  </si>
  <si>
    <t>RIESGO</t>
  </si>
  <si>
    <t>PESO REAL =</t>
  </si>
  <si>
    <t>IL =</t>
  </si>
  <si>
    <t>PESO REAL / LPR =</t>
  </si>
  <si>
    <t xml:space="preserve">    /</t>
  </si>
  <si>
    <t xml:space="preserve">  =</t>
  </si>
  <si>
    <t>TAREA 1</t>
  </si>
  <si>
    <t>TAREA 2</t>
  </si>
  <si>
    <t>TAREA 3</t>
  </si>
  <si>
    <t>LPR =</t>
  </si>
  <si>
    <t>ILT A =</t>
  </si>
  <si>
    <t>IL1 =</t>
  </si>
  <si>
    <t>IL2 =</t>
  </si>
  <si>
    <t>IL3 =</t>
  </si>
  <si>
    <t>ILT B =</t>
  </si>
  <si>
    <t>fA =</t>
  </si>
  <si>
    <t>fB =</t>
  </si>
  <si>
    <t>ILT C =</t>
  </si>
  <si>
    <t>fC =</t>
  </si>
  <si>
    <t xml:space="preserve"> =</t>
  </si>
  <si>
    <t>MIN</t>
  </si>
  <si>
    <t>MAX</t>
  </si>
  <si>
    <t>max 1</t>
  </si>
  <si>
    <t>max 2</t>
  </si>
  <si>
    <t>max 3</t>
  </si>
  <si>
    <t xml:space="preserve">ILC = </t>
  </si>
  <si>
    <t>+</t>
  </si>
  <si>
    <t>fA + fB =</t>
  </si>
  <si>
    <t>fA + fB + fC =</t>
  </si>
  <si>
    <t xml:space="preserve">   -</t>
  </si>
  <si>
    <t xml:space="preserve">- </t>
  </si>
  <si>
    <t>CM =</t>
  </si>
  <si>
    <t>ECUACION DE NIOSH:</t>
  </si>
  <si>
    <t>kg (constante)</t>
  </si>
  <si>
    <t>ILT B (fA+fB) =</t>
  </si>
  <si>
    <t xml:space="preserve">   Peso A</t>
  </si>
  <si>
    <t xml:space="preserve">   Peso B=</t>
  </si>
  <si>
    <t xml:space="preserve">   Peso C=</t>
  </si>
  <si>
    <t xml:space="preserve">   LPR A=</t>
  </si>
  <si>
    <t xml:space="preserve">   LPR B=</t>
  </si>
  <si>
    <t xml:space="preserve">   LPR C=</t>
  </si>
  <si>
    <t>LPR B (fA+fB)=</t>
  </si>
  <si>
    <t>ILT B (fA) =</t>
  </si>
  <si>
    <t>LPR B (fA)=</t>
  </si>
  <si>
    <t>LPR C (fA+fB+fC)=</t>
  </si>
  <si>
    <t>ILT C (fA+fB+fC) =</t>
  </si>
  <si>
    <t>LPR C (fA+fB)=</t>
  </si>
  <si>
    <t>ILT C (fA+fB) =</t>
  </si>
  <si>
    <t>ILC =                     ILT A +              ( ILT B (fA+fB) - ILT B (fA)  ) +             ( ILT C (fA + fB + fC) - ILT C (fA + fB))</t>
  </si>
  <si>
    <t>ECUACION DE NIOSH COMBINADA (TRES TAREAS)</t>
  </si>
  <si>
    <t>(elegir s/ tabla)</t>
  </si>
  <si>
    <t>REG</t>
  </si>
  <si>
    <t>(elegir s/ t.)</t>
  </si>
  <si>
    <t>NIVEL DE RIESGO</t>
  </si>
  <si>
    <t>RIESGO ILIMITADO</t>
  </si>
  <si>
    <t>ILC &lt; 1</t>
  </si>
  <si>
    <t>RIESGO MODERADO</t>
  </si>
  <si>
    <t>ILC &lt; 3</t>
  </si>
  <si>
    <t>1 &lt;</t>
  </si>
  <si>
    <t>RIESGO GRAVE</t>
  </si>
  <si>
    <t>ILC &gt; 3</t>
  </si>
  <si>
    <t>(NIVEL</t>
  </si>
  <si>
    <t>)</t>
  </si>
  <si>
    <t>Descarga ofrecida por: www.prevention-world.com</t>
  </si>
  <si>
    <t>Autor: Iaertes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</si>
</sst>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d/m/yyyy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 quotePrefix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6" fillId="0" borderId="3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35" xfId="0" applyNumberFormat="1" applyBorder="1" applyAlignment="1">
      <alignment horizontal="center"/>
    </xf>
    <xf numFmtId="0" fontId="0" fillId="0" borderId="2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30" xfId="0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 quotePrefix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42" xfId="0" applyBorder="1" applyAlignment="1">
      <alignment/>
    </xf>
    <xf numFmtId="2" fontId="1" fillId="0" borderId="43" xfId="0" applyNumberFormat="1" applyFont="1" applyBorder="1" applyAlignment="1">
      <alignment/>
    </xf>
    <xf numFmtId="2" fontId="0" fillId="0" borderId="43" xfId="0" applyNumberFormat="1" applyBorder="1" applyAlignment="1">
      <alignment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right"/>
    </xf>
    <xf numFmtId="0" fontId="0" fillId="0" borderId="45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11</xdr:row>
      <xdr:rowOff>0</xdr:rowOff>
    </xdr:from>
    <xdr:to>
      <xdr:col>7</xdr:col>
      <xdr:colOff>57150</xdr:colOff>
      <xdr:row>19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00275"/>
          <a:ext cx="1495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37</xdr:row>
      <xdr:rowOff>28575</xdr:rowOff>
    </xdr:from>
    <xdr:to>
      <xdr:col>3</xdr:col>
      <xdr:colOff>714375</xdr:colOff>
      <xdr:row>37</xdr:row>
      <xdr:rowOff>371475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64770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39</xdr:row>
      <xdr:rowOff>9525</xdr:rowOff>
    </xdr:from>
    <xdr:to>
      <xdr:col>3</xdr:col>
      <xdr:colOff>676275</xdr:colOff>
      <xdr:row>40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7219950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38</xdr:row>
      <xdr:rowOff>9525</xdr:rowOff>
    </xdr:from>
    <xdr:to>
      <xdr:col>3</xdr:col>
      <xdr:colOff>638175</xdr:colOff>
      <xdr:row>39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68389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44</xdr:row>
      <xdr:rowOff>28575</xdr:rowOff>
    </xdr:from>
    <xdr:to>
      <xdr:col>3</xdr:col>
      <xdr:colOff>1019175</xdr:colOff>
      <xdr:row>44</xdr:row>
      <xdr:rowOff>371475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8267700"/>
          <a:ext cx="990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45</xdr:row>
      <xdr:rowOff>38100</xdr:rowOff>
    </xdr:from>
    <xdr:to>
      <xdr:col>3</xdr:col>
      <xdr:colOff>1028700</xdr:colOff>
      <xdr:row>45</xdr:row>
      <xdr:rowOff>333375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43175" y="8658225"/>
          <a:ext cx="1000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46</xdr:row>
      <xdr:rowOff>28575</xdr:rowOff>
    </xdr:from>
    <xdr:to>
      <xdr:col>3</xdr:col>
      <xdr:colOff>1019175</xdr:colOff>
      <xdr:row>46</xdr:row>
      <xdr:rowOff>381000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43175" y="9029700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84</xdr:row>
      <xdr:rowOff>123825</xdr:rowOff>
    </xdr:from>
    <xdr:to>
      <xdr:col>4</xdr:col>
      <xdr:colOff>619125</xdr:colOff>
      <xdr:row>103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5906750"/>
          <a:ext cx="33909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34</xdr:row>
      <xdr:rowOff>76200</xdr:rowOff>
    </xdr:from>
    <xdr:to>
      <xdr:col>12</xdr:col>
      <xdr:colOff>514350</xdr:colOff>
      <xdr:row>36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324475" y="5695950"/>
          <a:ext cx="914400" cy="257175"/>
        </a:xfrm>
        <a:prstGeom prst="borderCallout1">
          <a:avLst>
            <a:gd name="adj1" fmla="val -77083"/>
            <a:gd name="adj2" fmla="val 89287"/>
            <a:gd name="adj3" fmla="val -7143"/>
            <a:gd name="adj4" fmla="val -86458"/>
            <a:gd name="adj5" fmla="val 67856"/>
            <a:gd name="adj6" fmla="val -77083"/>
            <a:gd name="adj7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meter datos !!</a:t>
          </a:r>
        </a:p>
      </xdr:txBody>
    </xdr:sp>
    <xdr:clientData/>
  </xdr:twoCellAnchor>
  <xdr:twoCellAnchor>
    <xdr:from>
      <xdr:col>3</xdr:col>
      <xdr:colOff>38100</xdr:colOff>
      <xdr:row>85</xdr:row>
      <xdr:rowOff>38100</xdr:rowOff>
    </xdr:from>
    <xdr:to>
      <xdr:col>3</xdr:col>
      <xdr:colOff>114300</xdr:colOff>
      <xdr:row>88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62100" y="14154150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85</xdr:row>
      <xdr:rowOff>9525</xdr:rowOff>
    </xdr:from>
    <xdr:to>
      <xdr:col>6</xdr:col>
      <xdr:colOff>542925</xdr:colOff>
      <xdr:row>88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2695575" y="14125575"/>
          <a:ext cx="914400" cy="514350"/>
        </a:xfrm>
        <a:prstGeom prst="borderCallout1">
          <a:avLst>
            <a:gd name="adj1" fmla="val -160416"/>
            <a:gd name="adj2" fmla="val -3703"/>
            <a:gd name="adj3" fmla="val -27777"/>
            <a:gd name="adj4" fmla="val -166666"/>
            <a:gd name="adj5" fmla="val -5555"/>
            <a:gd name="adj6" fmla="val -157291"/>
            <a:gd name="adj7" fmla="val 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cálculos para definir el valor intermedio</a:t>
          </a:r>
        </a:p>
      </xdr:txBody>
    </xdr:sp>
    <xdr:clientData/>
  </xdr:twoCellAnchor>
  <xdr:twoCellAnchor>
    <xdr:from>
      <xdr:col>3</xdr:col>
      <xdr:colOff>352425</xdr:colOff>
      <xdr:row>93</xdr:row>
      <xdr:rowOff>85725</xdr:rowOff>
    </xdr:from>
    <xdr:to>
      <xdr:col>5</xdr:col>
      <xdr:colOff>485775</xdr:colOff>
      <xdr:row>96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1876425" y="15535275"/>
          <a:ext cx="1152525" cy="485775"/>
        </a:xfrm>
        <a:prstGeom prst="borderCallout1">
          <a:avLst>
            <a:gd name="adj1" fmla="val 105370"/>
            <a:gd name="adj2" fmla="val 6861"/>
            <a:gd name="adj3" fmla="val 56611"/>
            <a:gd name="adj4" fmla="val -26472"/>
            <a:gd name="adj5" fmla="val -159916"/>
            <a:gd name="adj6" fmla="val 16666"/>
            <a:gd name="adj7" fmla="val -152481"/>
            <a:gd name="adj8" fmla="val 28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cálculos de frecuencias compuestas</a:t>
          </a:r>
        </a:p>
      </xdr:txBody>
    </xdr:sp>
    <xdr:clientData/>
  </xdr:twoCellAnchor>
  <xdr:twoCellAnchor>
    <xdr:from>
      <xdr:col>6</xdr:col>
      <xdr:colOff>666750</xdr:colOff>
      <xdr:row>93</xdr:row>
      <xdr:rowOff>152400</xdr:rowOff>
    </xdr:from>
    <xdr:to>
      <xdr:col>6</xdr:col>
      <xdr:colOff>742950</xdr:colOff>
      <xdr:row>96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3733800" y="15601950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96</xdr:row>
      <xdr:rowOff>142875</xdr:rowOff>
    </xdr:from>
    <xdr:to>
      <xdr:col>11</xdr:col>
      <xdr:colOff>95250</xdr:colOff>
      <xdr:row>104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5314950" y="16106775"/>
          <a:ext cx="76200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105</xdr:row>
      <xdr:rowOff>0</xdr:rowOff>
    </xdr:from>
    <xdr:to>
      <xdr:col>11</xdr:col>
      <xdr:colOff>114300</xdr:colOff>
      <xdr:row>109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5334000" y="17421225"/>
          <a:ext cx="76200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99</xdr:row>
      <xdr:rowOff>85725</xdr:rowOff>
    </xdr:from>
    <xdr:to>
      <xdr:col>13</xdr:col>
      <xdr:colOff>114300</xdr:colOff>
      <xdr:row>102</xdr:row>
      <xdr:rowOff>123825</xdr:rowOff>
    </xdr:to>
    <xdr:sp>
      <xdr:nvSpPr>
        <xdr:cNvPr id="8" name="AutoShape 9"/>
        <xdr:cNvSpPr>
          <a:spLocks/>
        </xdr:cNvSpPr>
      </xdr:nvSpPr>
      <xdr:spPr>
        <a:xfrm>
          <a:off x="5705475" y="16535400"/>
          <a:ext cx="914400" cy="523875"/>
        </a:xfrm>
        <a:prstGeom prst="borderCallout1">
          <a:avLst>
            <a:gd name="adj1" fmla="val -80208"/>
            <a:gd name="adj2" fmla="val -28180"/>
            <a:gd name="adj3" fmla="val -28180"/>
            <a:gd name="adj4" fmla="val -85416"/>
            <a:gd name="adj5" fmla="val -19092"/>
            <a:gd name="adj6" fmla="val -76041"/>
            <a:gd name="adj7" fmla="val -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Preparación automática de cálculos</a:t>
          </a:r>
        </a:p>
      </xdr:txBody>
    </xdr:sp>
    <xdr:clientData/>
  </xdr:twoCellAnchor>
  <xdr:twoCellAnchor>
    <xdr:from>
      <xdr:col>11</xdr:col>
      <xdr:colOff>390525</xdr:colOff>
      <xdr:row>105</xdr:row>
      <xdr:rowOff>104775</xdr:rowOff>
    </xdr:from>
    <xdr:to>
      <xdr:col>13</xdr:col>
      <xdr:colOff>95250</xdr:colOff>
      <xdr:row>107</xdr:row>
      <xdr:rowOff>152400</xdr:rowOff>
    </xdr:to>
    <xdr:sp>
      <xdr:nvSpPr>
        <xdr:cNvPr id="9" name="AutoShape 10"/>
        <xdr:cNvSpPr>
          <a:spLocks/>
        </xdr:cNvSpPr>
      </xdr:nvSpPr>
      <xdr:spPr>
        <a:xfrm>
          <a:off x="5686425" y="17526000"/>
          <a:ext cx="914400" cy="371475"/>
        </a:xfrm>
        <a:prstGeom prst="borderCallout1">
          <a:avLst>
            <a:gd name="adj1" fmla="val -75000"/>
            <a:gd name="adj2" fmla="val -1282"/>
            <a:gd name="adj3" fmla="val -19231"/>
            <a:gd name="adj4" fmla="val -83333"/>
            <a:gd name="adj5" fmla="val 32050"/>
            <a:gd name="adj6" fmla="val -73958"/>
            <a:gd name="adj7" fmla="val 47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Cálculos intermedios</a:t>
          </a:r>
        </a:p>
      </xdr:txBody>
    </xdr:sp>
    <xdr:clientData/>
  </xdr:twoCellAnchor>
  <xdr:twoCellAnchor>
    <xdr:from>
      <xdr:col>3</xdr:col>
      <xdr:colOff>533400</xdr:colOff>
      <xdr:row>116</xdr:row>
      <xdr:rowOff>9525</xdr:rowOff>
    </xdr:from>
    <xdr:to>
      <xdr:col>3</xdr:col>
      <xdr:colOff>609600</xdr:colOff>
      <xdr:row>118</xdr:row>
      <xdr:rowOff>133350</xdr:rowOff>
    </xdr:to>
    <xdr:sp>
      <xdr:nvSpPr>
        <xdr:cNvPr id="10" name="AutoShape 11"/>
        <xdr:cNvSpPr>
          <a:spLocks/>
        </xdr:cNvSpPr>
      </xdr:nvSpPr>
      <xdr:spPr>
        <a:xfrm>
          <a:off x="2057400" y="192309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showGridLines="0" zoomScale="75" zoomScaleNormal="75" workbookViewId="0" topLeftCell="A79">
      <selection activeCell="A114" sqref="A114"/>
    </sheetView>
  </sheetViews>
  <sheetFormatPr defaultColWidth="11.421875" defaultRowHeight="12.75"/>
  <cols>
    <col min="2" max="2" width="16.8515625" style="0" customWidth="1"/>
    <col min="3" max="3" width="9.421875" style="0" customWidth="1"/>
    <col min="4" max="4" width="15.421875" style="0" customWidth="1"/>
    <col min="5" max="5" width="12.421875" style="0" customWidth="1"/>
    <col min="6" max="6" width="14.421875" style="0" customWidth="1"/>
    <col min="7" max="7" width="7.57421875" style="0" customWidth="1"/>
  </cols>
  <sheetData>
    <row r="1" spans="2:4" ht="19.5" customHeight="1">
      <c r="B1" s="127" t="s">
        <v>1</v>
      </c>
      <c r="C1" s="127"/>
      <c r="D1" s="127"/>
    </row>
    <row r="3" spans="1:6" ht="20.25">
      <c r="A3" s="116" t="s">
        <v>0</v>
      </c>
      <c r="B3" s="116"/>
      <c r="C3" s="116"/>
      <c r="D3" s="116"/>
      <c r="E3" s="116"/>
      <c r="F3" s="116"/>
    </row>
    <row r="7" spans="1:4" ht="18.75" thickBot="1">
      <c r="A7" s="127" t="s">
        <v>2</v>
      </c>
      <c r="B7" s="127"/>
      <c r="C7" s="127"/>
      <c r="D7" s="127"/>
    </row>
    <row r="8" spans="5:7" ht="12.75">
      <c r="E8" s="120"/>
      <c r="F8" s="122"/>
      <c r="G8" s="115" t="s">
        <v>4</v>
      </c>
    </row>
    <row r="9" spans="1:7" ht="19.5" thickBot="1">
      <c r="A9" s="12">
        <v>1</v>
      </c>
      <c r="B9" s="126" t="s">
        <v>3</v>
      </c>
      <c r="C9" s="126"/>
      <c r="D9" s="126"/>
      <c r="E9" s="123"/>
      <c r="F9" s="125"/>
      <c r="G9" s="115"/>
    </row>
    <row r="11" spans="1:6" ht="18.75">
      <c r="A11" s="12">
        <v>2</v>
      </c>
      <c r="B11" s="126" t="s">
        <v>5</v>
      </c>
      <c r="C11" s="126"/>
      <c r="D11" s="126"/>
      <c r="E11" s="126"/>
      <c r="F11" s="126"/>
    </row>
    <row r="12" ht="12.75">
      <c r="F12" s="1"/>
    </row>
    <row r="13" spans="6:8" ht="12.75">
      <c r="F13" s="1"/>
      <c r="H13" s="17" t="s">
        <v>45</v>
      </c>
    </row>
    <row r="14" spans="1:8" ht="12.75">
      <c r="A14" s="1">
        <v>2.1</v>
      </c>
      <c r="B14" s="1" t="s">
        <v>6</v>
      </c>
      <c r="C14" s="1"/>
      <c r="F14" s="1"/>
      <c r="H14" s="1" t="s">
        <v>46</v>
      </c>
    </row>
    <row r="15" spans="2:8" ht="12.75">
      <c r="B15" s="1" t="s">
        <v>7</v>
      </c>
      <c r="C15" s="1"/>
      <c r="F15" s="1"/>
      <c r="H15" s="1" t="s">
        <v>47</v>
      </c>
    </row>
    <row r="16" spans="2:8" ht="12.75">
      <c r="B16" s="1" t="s">
        <v>8</v>
      </c>
      <c r="C16" s="1"/>
      <c r="F16" s="1"/>
      <c r="H16" s="1"/>
    </row>
    <row r="17" spans="6:8" ht="12.75">
      <c r="F17" s="1"/>
      <c r="H17" s="1" t="s">
        <v>48</v>
      </c>
    </row>
    <row r="18" ht="12.75">
      <c r="H18" s="1"/>
    </row>
    <row r="19" spans="1:8" ht="12.75">
      <c r="A19" s="3"/>
      <c r="H19" s="1" t="s">
        <v>49</v>
      </c>
    </row>
    <row r="20" spans="2:5" ht="13.5" thickBot="1">
      <c r="B20" s="114"/>
      <c r="C20" s="114"/>
      <c r="D20" s="114"/>
      <c r="E20" s="114"/>
    </row>
    <row r="21" spans="5:7" ht="12.75">
      <c r="E21" s="120"/>
      <c r="F21" s="122"/>
      <c r="G21" s="115" t="s">
        <v>4</v>
      </c>
    </row>
    <row r="22" spans="5:7" ht="13.5" thickBot="1">
      <c r="E22" s="123"/>
      <c r="F22" s="125"/>
      <c r="G22" s="115"/>
    </row>
    <row r="25" spans="1:3" ht="12.75">
      <c r="A25" s="1">
        <v>2.2</v>
      </c>
      <c r="B25" s="1" t="s">
        <v>9</v>
      </c>
      <c r="C25" s="1"/>
    </row>
    <row r="26" spans="5:6" ht="12.75">
      <c r="E26" s="141" t="s">
        <v>15</v>
      </c>
      <c r="F26" s="142"/>
    </row>
    <row r="27" spans="2:6" ht="13.5" thickBot="1">
      <c r="B27" s="131" t="s">
        <v>10</v>
      </c>
      <c r="C27" s="131"/>
      <c r="D27" s="131"/>
      <c r="E27" s="145">
        <v>1</v>
      </c>
      <c r="F27" s="145"/>
    </row>
    <row r="28" spans="2:8" ht="12.75">
      <c r="B28" s="132" t="s">
        <v>11</v>
      </c>
      <c r="C28" s="133"/>
      <c r="D28" s="134"/>
      <c r="E28" s="145">
        <v>0.91</v>
      </c>
      <c r="F28" s="145"/>
      <c r="H28" s="139"/>
    </row>
    <row r="29" spans="2:8" ht="13.5" thickBot="1">
      <c r="B29" s="132" t="s">
        <v>12</v>
      </c>
      <c r="C29" s="133"/>
      <c r="D29" s="134"/>
      <c r="E29" s="145">
        <v>0.87</v>
      </c>
      <c r="F29" s="145"/>
      <c r="H29" s="140"/>
    </row>
    <row r="30" spans="2:8" ht="12.75">
      <c r="B30" s="132" t="s">
        <v>13</v>
      </c>
      <c r="C30" s="133"/>
      <c r="D30" s="134"/>
      <c r="E30" s="145">
        <v>0.84</v>
      </c>
      <c r="F30" s="145"/>
      <c r="H30" t="s">
        <v>44</v>
      </c>
    </row>
    <row r="31" spans="2:6" ht="12.75">
      <c r="B31" s="132" t="s">
        <v>14</v>
      </c>
      <c r="C31" s="133"/>
      <c r="D31" s="134"/>
      <c r="E31" s="145">
        <v>0</v>
      </c>
      <c r="F31" s="145"/>
    </row>
    <row r="34" spans="1:2" ht="12.75">
      <c r="A34" s="1">
        <v>2.3</v>
      </c>
      <c r="B34" s="1" t="s">
        <v>16</v>
      </c>
    </row>
    <row r="36" spans="5:6" ht="12.75">
      <c r="E36" s="141" t="s">
        <v>15</v>
      </c>
      <c r="F36" s="142"/>
    </row>
    <row r="37" spans="2:6" ht="12.75">
      <c r="B37" s="8" t="s">
        <v>17</v>
      </c>
      <c r="C37" s="9"/>
      <c r="D37" s="7"/>
      <c r="E37" s="143">
        <v>1</v>
      </c>
      <c r="F37" s="143"/>
    </row>
    <row r="38" spans="2:6" ht="30" customHeight="1" thickBot="1">
      <c r="B38" s="137" t="s">
        <v>20</v>
      </c>
      <c r="C38" s="138"/>
      <c r="D38" s="6"/>
      <c r="E38" s="143">
        <v>0.9</v>
      </c>
      <c r="F38" s="143"/>
    </row>
    <row r="39" spans="2:8" ht="30" customHeight="1">
      <c r="B39" s="144" t="s">
        <v>18</v>
      </c>
      <c r="C39" s="144"/>
      <c r="D39" s="5"/>
      <c r="E39" s="143">
        <v>0.8</v>
      </c>
      <c r="F39" s="143"/>
      <c r="H39" s="139"/>
    </row>
    <row r="40" spans="2:8" ht="30" customHeight="1" thickBot="1">
      <c r="B40" s="144" t="s">
        <v>19</v>
      </c>
      <c r="C40" s="144"/>
      <c r="D40" s="5"/>
      <c r="E40" s="143">
        <v>0.7</v>
      </c>
      <c r="F40" s="143"/>
      <c r="H40" s="140"/>
    </row>
    <row r="43" spans="1:2" ht="12.75">
      <c r="A43" s="1">
        <v>2.4</v>
      </c>
      <c r="B43" s="1" t="s">
        <v>21</v>
      </c>
    </row>
    <row r="44" spans="5:6" ht="12.75">
      <c r="E44" s="141" t="s">
        <v>15</v>
      </c>
      <c r="F44" s="142"/>
    </row>
    <row r="45" spans="2:6" ht="30" customHeight="1" thickBot="1">
      <c r="B45" s="137" t="s">
        <v>22</v>
      </c>
      <c r="C45" s="138"/>
      <c r="D45" s="7"/>
      <c r="E45" s="143">
        <v>1</v>
      </c>
      <c r="F45" s="143"/>
    </row>
    <row r="46" spans="2:8" ht="30" customHeight="1">
      <c r="B46" s="10" t="s">
        <v>23</v>
      </c>
      <c r="C46" s="6"/>
      <c r="D46" s="5"/>
      <c r="E46" s="143">
        <v>0.95</v>
      </c>
      <c r="F46" s="143"/>
      <c r="H46" s="139"/>
    </row>
    <row r="47" spans="2:8" ht="30" customHeight="1" thickBot="1">
      <c r="B47" s="137" t="s">
        <v>24</v>
      </c>
      <c r="C47" s="138"/>
      <c r="D47" s="5"/>
      <c r="E47" s="143">
        <v>0.9</v>
      </c>
      <c r="F47" s="143"/>
      <c r="H47" s="140"/>
    </row>
    <row r="50" spans="1:4" ht="12.75">
      <c r="A50" s="1">
        <v>2.5</v>
      </c>
      <c r="B50" s="1" t="s">
        <v>25</v>
      </c>
      <c r="C50" s="1"/>
      <c r="D50" s="1"/>
    </row>
    <row r="52" spans="4:6" ht="12.75">
      <c r="D52" s="135" t="s">
        <v>26</v>
      </c>
      <c r="E52" s="135"/>
      <c r="F52" s="135"/>
    </row>
    <row r="53" spans="4:6" ht="12.75">
      <c r="D53" s="11" t="s">
        <v>27</v>
      </c>
      <c r="E53" s="11" t="s">
        <v>28</v>
      </c>
      <c r="F53" s="11" t="s">
        <v>29</v>
      </c>
    </row>
    <row r="54" spans="4:6" ht="12.75">
      <c r="D54" s="136" t="s">
        <v>15</v>
      </c>
      <c r="E54" s="136"/>
      <c r="F54" s="136"/>
    </row>
    <row r="55" spans="2:6" ht="13.5" thickBot="1">
      <c r="B55" s="131" t="s">
        <v>30</v>
      </c>
      <c r="C55" s="131"/>
      <c r="D55" s="4">
        <v>1</v>
      </c>
      <c r="E55" s="5">
        <v>0.95</v>
      </c>
      <c r="F55" s="5">
        <v>0.85</v>
      </c>
    </row>
    <row r="56" spans="2:8" ht="12.75">
      <c r="B56" s="131" t="s">
        <v>31</v>
      </c>
      <c r="C56" s="131"/>
      <c r="D56" s="4">
        <v>0.94</v>
      </c>
      <c r="E56" s="5">
        <v>0.88</v>
      </c>
      <c r="F56" s="5">
        <v>0.75</v>
      </c>
      <c r="H56" s="139"/>
    </row>
    <row r="57" spans="2:8" ht="13.5" thickBot="1">
      <c r="B57" s="131" t="s">
        <v>32</v>
      </c>
      <c r="C57" s="131"/>
      <c r="D57" s="4">
        <v>0.84</v>
      </c>
      <c r="E57" s="5">
        <v>0.72</v>
      </c>
      <c r="F57" s="5">
        <v>0.45</v>
      </c>
      <c r="H57" s="140"/>
    </row>
    <row r="58" spans="2:6" ht="12.75">
      <c r="B58" s="131" t="s">
        <v>33</v>
      </c>
      <c r="C58" s="131"/>
      <c r="D58" s="4">
        <v>0.52</v>
      </c>
      <c r="E58" s="5">
        <v>0.3</v>
      </c>
      <c r="F58" s="5">
        <v>0</v>
      </c>
    </row>
    <row r="59" spans="2:6" ht="12.75">
      <c r="B59" s="131" t="s">
        <v>34</v>
      </c>
      <c r="C59" s="131"/>
      <c r="D59" s="4">
        <v>0.37</v>
      </c>
      <c r="E59" s="5">
        <v>0</v>
      </c>
      <c r="F59" s="5">
        <v>0</v>
      </c>
    </row>
    <row r="60" spans="2:6" ht="12.75">
      <c r="B60" s="131" t="s">
        <v>35</v>
      </c>
      <c r="C60" s="131"/>
      <c r="D60" s="4">
        <v>0</v>
      </c>
      <c r="E60" s="5">
        <v>0</v>
      </c>
      <c r="F60" s="5">
        <v>0</v>
      </c>
    </row>
    <row r="64" spans="1:6" ht="18.75">
      <c r="A64" s="12">
        <v>3</v>
      </c>
      <c r="B64" s="126" t="s">
        <v>36</v>
      </c>
      <c r="C64" s="126"/>
      <c r="D64" s="126"/>
      <c r="E64" s="126"/>
      <c r="F64" s="126"/>
    </row>
    <row r="65" ht="13.5" thickBot="1"/>
    <row r="66" spans="5:6" ht="12.75" customHeight="1">
      <c r="E66" s="120"/>
      <c r="F66" s="122"/>
    </row>
    <row r="67" spans="5:7" ht="13.5" customHeight="1" thickBot="1">
      <c r="E67" s="123"/>
      <c r="F67" s="125"/>
      <c r="G67" s="2" t="s">
        <v>39</v>
      </c>
    </row>
    <row r="70" spans="1:4" ht="18.75">
      <c r="A70" s="12">
        <v>4</v>
      </c>
      <c r="B70" s="126" t="s">
        <v>37</v>
      </c>
      <c r="C70" s="126"/>
      <c r="D70" s="126"/>
    </row>
    <row r="71" ht="13.5" thickBot="1"/>
    <row r="72" spans="5:6" ht="12.75">
      <c r="E72" s="120"/>
      <c r="F72" s="122"/>
    </row>
    <row r="73" spans="5:7" ht="13.5" thickBot="1">
      <c r="E73" s="123"/>
      <c r="F73" s="125"/>
      <c r="G73" s="2" t="s">
        <v>38</v>
      </c>
    </row>
    <row r="78" spans="2:4" ht="18">
      <c r="B78" s="13"/>
      <c r="C78" s="12" t="s">
        <v>40</v>
      </c>
      <c r="D78" s="13"/>
    </row>
    <row r="80" spans="2:4" ht="18">
      <c r="B80" s="127" t="s">
        <v>41</v>
      </c>
      <c r="C80" s="127"/>
      <c r="D80" s="127"/>
    </row>
    <row r="83" spans="1:6" ht="18">
      <c r="A83" s="127" t="s">
        <v>42</v>
      </c>
      <c r="B83" s="127"/>
      <c r="C83" s="127"/>
      <c r="D83" s="127"/>
      <c r="E83" s="127"/>
      <c r="F83" s="127"/>
    </row>
    <row r="101" ht="12.75">
      <c r="G101" s="15"/>
    </row>
    <row r="103" ht="13.5" thickBot="1"/>
    <row r="104" spans="6:8" ht="18.75" thickBot="1">
      <c r="F104" s="128" t="str">
        <f>IF(E8&gt;B108,"RIESGO NO TOLERABLE","RIESGO TOLERABLE")</f>
        <v>RIESGO TOLERABLE</v>
      </c>
      <c r="G104" s="129"/>
      <c r="H104" s="130"/>
    </row>
    <row r="106" spans="1:6" ht="18.75">
      <c r="A106" s="119" t="s">
        <v>43</v>
      </c>
      <c r="B106" s="119"/>
      <c r="C106" s="119"/>
      <c r="D106" s="119"/>
      <c r="E106" s="119"/>
      <c r="F106" s="119"/>
    </row>
    <row r="107" ht="13.5" thickBot="1">
      <c r="D107" s="16"/>
    </row>
    <row r="108" spans="2:5" ht="12.75">
      <c r="B108" s="120">
        <f>E21*H28*H39*H46*H56</f>
        <v>0</v>
      </c>
      <c r="C108" s="121"/>
      <c r="D108" s="121"/>
      <c r="E108" s="122"/>
    </row>
    <row r="109" spans="2:6" ht="18.75" thickBot="1">
      <c r="B109" s="123"/>
      <c r="C109" s="124"/>
      <c r="D109" s="124"/>
      <c r="E109" s="125"/>
      <c r="F109" s="14" t="s">
        <v>39</v>
      </c>
    </row>
    <row r="114" ht="12.75">
      <c r="A114" t="s">
        <v>192</v>
      </c>
    </row>
    <row r="115" ht="12.75">
      <c r="A115" t="s">
        <v>191</v>
      </c>
    </row>
  </sheetData>
  <mergeCells count="56">
    <mergeCell ref="H39:H40"/>
    <mergeCell ref="H46:H47"/>
    <mergeCell ref="B9:D9"/>
    <mergeCell ref="E8:F9"/>
    <mergeCell ref="B30:D30"/>
    <mergeCell ref="E26:F26"/>
    <mergeCell ref="H28:H29"/>
    <mergeCell ref="B27:D27"/>
    <mergeCell ref="B28:D28"/>
    <mergeCell ref="B29:D29"/>
    <mergeCell ref="B1:D1"/>
    <mergeCell ref="A7:D7"/>
    <mergeCell ref="A3:F3"/>
    <mergeCell ref="G8:G9"/>
    <mergeCell ref="B20:E20"/>
    <mergeCell ref="E21:F22"/>
    <mergeCell ref="G21:G22"/>
    <mergeCell ref="E27:F27"/>
    <mergeCell ref="E28:F28"/>
    <mergeCell ref="E29:F29"/>
    <mergeCell ref="E36:F36"/>
    <mergeCell ref="E30:F30"/>
    <mergeCell ref="E31:F31"/>
    <mergeCell ref="B39:C39"/>
    <mergeCell ref="B40:C40"/>
    <mergeCell ref="B38:C38"/>
    <mergeCell ref="E37:F37"/>
    <mergeCell ref="E38:F38"/>
    <mergeCell ref="E39:F39"/>
    <mergeCell ref="E40:F40"/>
    <mergeCell ref="E44:F44"/>
    <mergeCell ref="E45:F45"/>
    <mergeCell ref="E46:F46"/>
    <mergeCell ref="E47:F47"/>
    <mergeCell ref="H56:H57"/>
    <mergeCell ref="B55:C55"/>
    <mergeCell ref="B56:C56"/>
    <mergeCell ref="B57:C57"/>
    <mergeCell ref="B11:F11"/>
    <mergeCell ref="A83:F83"/>
    <mergeCell ref="B59:C59"/>
    <mergeCell ref="B60:C60"/>
    <mergeCell ref="B58:C58"/>
    <mergeCell ref="B31:D31"/>
    <mergeCell ref="D52:F52"/>
    <mergeCell ref="D54:F54"/>
    <mergeCell ref="B45:C45"/>
    <mergeCell ref="B47:C47"/>
    <mergeCell ref="A106:F106"/>
    <mergeCell ref="B108:E109"/>
    <mergeCell ref="B64:F64"/>
    <mergeCell ref="B70:D70"/>
    <mergeCell ref="B80:D80"/>
    <mergeCell ref="E66:F67"/>
    <mergeCell ref="E72:F73"/>
    <mergeCell ref="F104:H104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58"/>
  <sheetViews>
    <sheetView workbookViewId="0" topLeftCell="A27">
      <selection activeCell="L40" sqref="L40"/>
    </sheetView>
  </sheetViews>
  <sheetFormatPr defaultColWidth="11.421875" defaultRowHeight="12.75"/>
  <cols>
    <col min="8" max="8" width="3.7109375" style="0" customWidth="1"/>
    <col min="9" max="9" width="2.8515625" style="0" customWidth="1"/>
    <col min="10" max="10" width="3.7109375" style="0" bestFit="1" customWidth="1"/>
  </cols>
  <sheetData>
    <row r="5" ht="15">
      <c r="F5" s="29"/>
    </row>
    <row r="6" spans="1:4" ht="15.75">
      <c r="A6" s="31" t="s">
        <v>50</v>
      </c>
      <c r="B6" s="118" t="s">
        <v>51</v>
      </c>
      <c r="C6" s="118"/>
      <c r="D6" s="118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3.5" thickBot="1">
      <c r="A9" s="1"/>
      <c r="B9" s="2"/>
      <c r="C9" s="2"/>
    </row>
    <row r="10" spans="2:10" ht="13.5" thickBot="1">
      <c r="B10" s="117" t="s">
        <v>52</v>
      </c>
      <c r="C10" s="117"/>
      <c r="D10" s="117"/>
      <c r="E10" s="117"/>
      <c r="H10" s="28" t="s">
        <v>69</v>
      </c>
      <c r="I10" s="2"/>
      <c r="J10" s="28" t="s">
        <v>70</v>
      </c>
    </row>
    <row r="11" spans="2:5" ht="13.5" thickBot="1">
      <c r="B11" s="18"/>
      <c r="C11" s="18"/>
      <c r="D11" s="18"/>
      <c r="E11" s="18"/>
    </row>
    <row r="12" spans="2:10" ht="13.5" thickBot="1">
      <c r="B12" s="117" t="s">
        <v>53</v>
      </c>
      <c r="C12" s="117"/>
      <c r="D12" s="117"/>
      <c r="E12" s="117"/>
      <c r="H12" s="28" t="s">
        <v>69</v>
      </c>
      <c r="I12" s="2"/>
      <c r="J12" s="28" t="s">
        <v>70</v>
      </c>
    </row>
    <row r="13" spans="2:5" ht="13.5" thickBot="1">
      <c r="B13" s="18"/>
      <c r="C13" s="18"/>
      <c r="D13" s="18"/>
      <c r="E13" s="18"/>
    </row>
    <row r="14" spans="2:10" ht="13.5" thickBot="1">
      <c r="B14" s="117" t="s">
        <v>63</v>
      </c>
      <c r="C14" s="117"/>
      <c r="D14" s="117"/>
      <c r="E14" s="117"/>
      <c r="H14" s="28" t="s">
        <v>69</v>
      </c>
      <c r="I14" s="2"/>
      <c r="J14" s="28" t="s">
        <v>70</v>
      </c>
    </row>
    <row r="15" spans="2:5" ht="13.5" thickBot="1">
      <c r="B15" s="18"/>
      <c r="C15" s="18"/>
      <c r="D15" s="18"/>
      <c r="E15" s="18"/>
    </row>
    <row r="16" spans="2:10" ht="13.5" thickBot="1">
      <c r="B16" s="117" t="s">
        <v>54</v>
      </c>
      <c r="C16" s="117"/>
      <c r="D16" s="117"/>
      <c r="E16" s="117"/>
      <c r="H16" s="28" t="s">
        <v>69</v>
      </c>
      <c r="I16" s="2"/>
      <c r="J16" s="28" t="s">
        <v>70</v>
      </c>
    </row>
    <row r="17" spans="2:5" ht="13.5" thickBot="1">
      <c r="B17" s="18"/>
      <c r="C17" s="18"/>
      <c r="D17" s="18"/>
      <c r="E17" s="18"/>
    </row>
    <row r="18" spans="2:10" ht="13.5" thickBot="1">
      <c r="B18" s="117" t="s">
        <v>55</v>
      </c>
      <c r="C18" s="117"/>
      <c r="D18" s="117"/>
      <c r="E18" s="117"/>
      <c r="H18" s="28" t="s">
        <v>69</v>
      </c>
      <c r="I18" s="2"/>
      <c r="J18" s="28" t="s">
        <v>70</v>
      </c>
    </row>
    <row r="19" spans="2:5" ht="13.5" thickBot="1">
      <c r="B19" s="18"/>
      <c r="C19" s="18"/>
      <c r="D19" s="18"/>
      <c r="E19" s="18"/>
    </row>
    <row r="20" spans="2:10" ht="13.5" thickBot="1">
      <c r="B20" t="s">
        <v>56</v>
      </c>
      <c r="H20" s="28" t="s">
        <v>69</v>
      </c>
      <c r="I20" s="2"/>
      <c r="J20" s="28" t="s">
        <v>70</v>
      </c>
    </row>
    <row r="21" ht="13.5" thickBot="1"/>
    <row r="22" spans="2:10" ht="13.5" thickBot="1">
      <c r="B22" t="s">
        <v>57</v>
      </c>
      <c r="H22" s="28" t="s">
        <v>69</v>
      </c>
      <c r="I22" s="2"/>
      <c r="J22" s="28" t="s">
        <v>70</v>
      </c>
    </row>
    <row r="23" ht="13.5" thickBot="1"/>
    <row r="24" spans="2:10" ht="13.5" thickBot="1">
      <c r="B24" t="s">
        <v>58</v>
      </c>
      <c r="H24" s="28" t="s">
        <v>69</v>
      </c>
      <c r="I24" s="2"/>
      <c r="J24" s="28" t="s">
        <v>70</v>
      </c>
    </row>
    <row r="25" ht="13.5" thickBot="1"/>
    <row r="26" spans="2:10" ht="13.5" thickBot="1">
      <c r="B26" t="s">
        <v>59</v>
      </c>
      <c r="H26" s="28" t="s">
        <v>69</v>
      </c>
      <c r="I26" s="2"/>
      <c r="J26" s="28" t="s">
        <v>70</v>
      </c>
    </row>
    <row r="27" ht="13.5" thickBot="1"/>
    <row r="28" spans="2:10" ht="13.5" thickBot="1">
      <c r="B28" t="s">
        <v>60</v>
      </c>
      <c r="H28" s="28" t="s">
        <v>69</v>
      </c>
      <c r="I28" s="2"/>
      <c r="J28" s="28" t="s">
        <v>70</v>
      </c>
    </row>
    <row r="29" ht="13.5" thickBot="1"/>
    <row r="30" spans="2:10" ht="13.5" thickBot="1">
      <c r="B30" t="s">
        <v>64</v>
      </c>
      <c r="H30" s="28" t="s">
        <v>69</v>
      </c>
      <c r="I30" s="2"/>
      <c r="J30" s="28" t="s">
        <v>70</v>
      </c>
    </row>
    <row r="31" ht="13.5" thickBot="1"/>
    <row r="32" spans="2:10" ht="13.5" thickBot="1">
      <c r="B32" t="s">
        <v>61</v>
      </c>
      <c r="H32" s="28" t="s">
        <v>69</v>
      </c>
      <c r="I32" s="2"/>
      <c r="J32" s="28" t="s">
        <v>70</v>
      </c>
    </row>
    <row r="33" ht="13.5" thickBot="1"/>
    <row r="34" spans="2:10" ht="13.5" thickBot="1">
      <c r="B34" t="s">
        <v>65</v>
      </c>
      <c r="H34" s="28" t="s">
        <v>69</v>
      </c>
      <c r="I34" s="2"/>
      <c r="J34" s="28" t="s">
        <v>70</v>
      </c>
    </row>
    <row r="35" ht="13.5" thickBot="1"/>
    <row r="36" spans="2:10" ht="13.5" thickBot="1">
      <c r="B36" t="s">
        <v>66</v>
      </c>
      <c r="H36" s="28" t="s">
        <v>69</v>
      </c>
      <c r="I36" s="2"/>
      <c r="J36" s="28" t="s">
        <v>70</v>
      </c>
    </row>
    <row r="37" ht="13.5" thickBot="1"/>
    <row r="38" spans="2:10" ht="13.5" thickBot="1">
      <c r="B38" t="s">
        <v>67</v>
      </c>
      <c r="H38" s="28" t="s">
        <v>69</v>
      </c>
      <c r="I38" s="2"/>
      <c r="J38" s="28" t="s">
        <v>70</v>
      </c>
    </row>
    <row r="39" ht="13.5" thickBot="1"/>
    <row r="40" spans="2:12" ht="13.5" thickBot="1">
      <c r="B40" t="s">
        <v>62</v>
      </c>
      <c r="H40" s="28" t="s">
        <v>69</v>
      </c>
      <c r="I40" s="2"/>
      <c r="J40" s="28" t="s">
        <v>70</v>
      </c>
      <c r="L40" t="s">
        <v>192</v>
      </c>
    </row>
    <row r="41" spans="8:12" ht="12.75">
      <c r="H41" s="30"/>
      <c r="I41" s="2"/>
      <c r="J41" s="30"/>
      <c r="L41" t="s">
        <v>191</v>
      </c>
    </row>
    <row r="42" spans="8:10" ht="12.75">
      <c r="H42" s="30"/>
      <c r="I42" s="2"/>
      <c r="J42" s="30"/>
    </row>
    <row r="43" spans="8:10" ht="12.75">
      <c r="H43" s="30"/>
      <c r="I43" s="2"/>
      <c r="J43" s="30"/>
    </row>
    <row r="45" spans="2:3" ht="12.75">
      <c r="B45" s="1" t="s">
        <v>68</v>
      </c>
      <c r="C45" s="1"/>
    </row>
    <row r="46" ht="13.5" thickBot="1"/>
    <row r="47" spans="2:10" ht="12.75">
      <c r="B47" s="19"/>
      <c r="C47" s="20"/>
      <c r="D47" s="20"/>
      <c r="E47" s="20"/>
      <c r="F47" s="20"/>
      <c r="G47" s="20"/>
      <c r="H47" s="20"/>
      <c r="I47" s="20"/>
      <c r="J47" s="21"/>
    </row>
    <row r="48" spans="2:10" ht="12.75">
      <c r="B48" s="22"/>
      <c r="C48" s="23"/>
      <c r="D48" s="23"/>
      <c r="E48" s="23"/>
      <c r="F48" s="23"/>
      <c r="G48" s="23"/>
      <c r="H48" s="23"/>
      <c r="I48" s="23"/>
      <c r="J48" s="24"/>
    </row>
    <row r="49" spans="2:10" ht="12.75">
      <c r="B49" s="22"/>
      <c r="C49" s="23"/>
      <c r="D49" s="23"/>
      <c r="E49" s="23"/>
      <c r="F49" s="23"/>
      <c r="G49" s="23"/>
      <c r="H49" s="23"/>
      <c r="I49" s="23"/>
      <c r="J49" s="24"/>
    </row>
    <row r="50" spans="2:10" ht="12.75">
      <c r="B50" s="22"/>
      <c r="C50" s="23"/>
      <c r="D50" s="23"/>
      <c r="E50" s="23"/>
      <c r="F50" s="23"/>
      <c r="G50" s="23"/>
      <c r="H50" s="23"/>
      <c r="I50" s="23"/>
      <c r="J50" s="24"/>
    </row>
    <row r="51" spans="2:10" ht="12.75">
      <c r="B51" s="22"/>
      <c r="C51" s="23"/>
      <c r="D51" s="23"/>
      <c r="E51" s="23"/>
      <c r="F51" s="23"/>
      <c r="G51" s="23"/>
      <c r="H51" s="23"/>
      <c r="I51" s="23"/>
      <c r="J51" s="24"/>
    </row>
    <row r="52" spans="2:10" ht="12.75">
      <c r="B52" s="22"/>
      <c r="C52" s="23"/>
      <c r="D52" s="23"/>
      <c r="E52" s="23"/>
      <c r="F52" s="23"/>
      <c r="G52" s="23"/>
      <c r="H52" s="23"/>
      <c r="I52" s="23"/>
      <c r="J52" s="24"/>
    </row>
    <row r="53" spans="2:10" ht="12.75">
      <c r="B53" s="22"/>
      <c r="C53" s="23"/>
      <c r="D53" s="23"/>
      <c r="E53" s="23"/>
      <c r="F53" s="23"/>
      <c r="G53" s="23"/>
      <c r="H53" s="23"/>
      <c r="I53" s="23"/>
      <c r="J53" s="24"/>
    </row>
    <row r="54" spans="2:10" ht="12.75">
      <c r="B54" s="22"/>
      <c r="C54" s="23"/>
      <c r="D54" s="23"/>
      <c r="E54" s="23"/>
      <c r="F54" s="23"/>
      <c r="G54" s="23"/>
      <c r="H54" s="23"/>
      <c r="I54" s="23"/>
      <c r="J54" s="24"/>
    </row>
    <row r="55" spans="2:10" ht="12.75">
      <c r="B55" s="22"/>
      <c r="C55" s="23"/>
      <c r="D55" s="23"/>
      <c r="E55" s="23"/>
      <c r="F55" s="23"/>
      <c r="G55" s="23"/>
      <c r="H55" s="23"/>
      <c r="I55" s="23"/>
      <c r="J55" s="24"/>
    </row>
    <row r="56" spans="2:10" ht="12.75">
      <c r="B56" s="22"/>
      <c r="C56" s="23"/>
      <c r="D56" s="23"/>
      <c r="E56" s="23"/>
      <c r="F56" s="23"/>
      <c r="G56" s="23"/>
      <c r="H56" s="23"/>
      <c r="I56" s="23"/>
      <c r="J56" s="24"/>
    </row>
    <row r="57" spans="2:10" ht="12.75">
      <c r="B57" s="22"/>
      <c r="C57" s="23"/>
      <c r="D57" s="23"/>
      <c r="E57" s="23"/>
      <c r="F57" s="23"/>
      <c r="G57" s="23"/>
      <c r="H57" s="23"/>
      <c r="I57" s="23"/>
      <c r="J57" s="24"/>
    </row>
    <row r="58" spans="2:10" ht="13.5" thickBot="1">
      <c r="B58" s="25"/>
      <c r="C58" s="26"/>
      <c r="D58" s="26"/>
      <c r="E58" s="26"/>
      <c r="F58" s="26"/>
      <c r="G58" s="26"/>
      <c r="H58" s="26"/>
      <c r="I58" s="26"/>
      <c r="J58" s="27"/>
    </row>
  </sheetData>
  <mergeCells count="6">
    <mergeCell ref="B18:E18"/>
    <mergeCell ref="B6:D6"/>
    <mergeCell ref="B10:E10"/>
    <mergeCell ref="B12:E12"/>
    <mergeCell ref="B14:E14"/>
    <mergeCell ref="B16:E16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19"/>
  <sheetViews>
    <sheetView tabSelected="1" workbookViewId="0" topLeftCell="A103">
      <selection activeCell="A122" sqref="A122:IV122"/>
    </sheetView>
  </sheetViews>
  <sheetFormatPr defaultColWidth="11.421875" defaultRowHeight="12.75"/>
  <cols>
    <col min="1" max="1" width="2.57421875" style="0" customWidth="1"/>
    <col min="2" max="2" width="10.421875" style="0" customWidth="1"/>
    <col min="3" max="3" width="9.8515625" style="0" customWidth="1"/>
    <col min="4" max="4" width="9.28125" style="0" customWidth="1"/>
    <col min="5" max="5" width="6.00390625" style="0" customWidth="1"/>
    <col min="6" max="6" width="7.8515625" style="0" customWidth="1"/>
    <col min="7" max="7" width="11.8515625" style="0" customWidth="1"/>
    <col min="8" max="8" width="6.57421875" style="0" customWidth="1"/>
    <col min="9" max="9" width="4.7109375" style="0" customWidth="1"/>
    <col min="10" max="10" width="4.57421875" style="0" customWidth="1"/>
    <col min="11" max="11" width="5.7109375" style="0" customWidth="1"/>
    <col min="12" max="12" width="6.421875" style="0" customWidth="1"/>
    <col min="13" max="13" width="11.7109375" style="0" customWidth="1"/>
    <col min="14" max="14" width="2.57421875" style="0" customWidth="1"/>
    <col min="15" max="15" width="0.85546875" style="0" customWidth="1"/>
    <col min="16" max="16384" width="5.7109375" style="0" customWidth="1"/>
  </cols>
  <sheetData>
    <row r="1" spans="3:4" ht="12.75">
      <c r="C1" s="1" t="s">
        <v>71</v>
      </c>
      <c r="D1" s="1"/>
    </row>
    <row r="2" ht="13.5" thickBot="1"/>
    <row r="3" spans="2:13" ht="12.75">
      <c r="B3" s="51" t="s">
        <v>78</v>
      </c>
      <c r="C3" s="52" t="s">
        <v>77</v>
      </c>
      <c r="D3" s="37"/>
      <c r="F3" s="61" t="s">
        <v>79</v>
      </c>
      <c r="G3" s="52" t="s">
        <v>80</v>
      </c>
      <c r="H3" s="37"/>
      <c r="I3" s="37"/>
      <c r="J3" s="37"/>
      <c r="L3" s="51" t="s">
        <v>88</v>
      </c>
      <c r="M3" s="62" t="s">
        <v>83</v>
      </c>
    </row>
    <row r="4" spans="2:13" ht="13.5" thickBot="1">
      <c r="B4" s="53" t="s">
        <v>73</v>
      </c>
      <c r="C4" s="54" t="s">
        <v>72</v>
      </c>
      <c r="D4" s="38"/>
      <c r="F4" s="53" t="s">
        <v>81</v>
      </c>
      <c r="G4" s="54" t="s">
        <v>76</v>
      </c>
      <c r="H4" s="38"/>
      <c r="I4" s="38"/>
      <c r="J4" s="38"/>
      <c r="L4" s="53" t="s">
        <v>85</v>
      </c>
      <c r="M4" s="54" t="s">
        <v>86</v>
      </c>
    </row>
    <row r="5" spans="2:13" ht="13.5" thickTop="1">
      <c r="B5" s="55" t="s">
        <v>74</v>
      </c>
      <c r="C5" s="56">
        <v>1</v>
      </c>
      <c r="D5" s="39"/>
      <c r="F5" s="83">
        <v>0</v>
      </c>
      <c r="G5" s="56">
        <f>1-(0.003*ABS(F5-75))</f>
        <v>0.775</v>
      </c>
      <c r="H5" s="39"/>
      <c r="I5" s="39"/>
      <c r="J5" s="39"/>
      <c r="L5" s="55" t="s">
        <v>84</v>
      </c>
      <c r="M5" s="56">
        <v>1</v>
      </c>
    </row>
    <row r="6" spans="2:13" ht="12.75">
      <c r="B6" s="57">
        <v>28</v>
      </c>
      <c r="C6" s="58">
        <f>25/B6</f>
        <v>0.8928571428571429</v>
      </c>
      <c r="D6" s="39"/>
      <c r="F6" s="57">
        <v>10</v>
      </c>
      <c r="G6" s="58">
        <f aca="true" t="shared" si="0" ref="G6:G23">1-(0.003*ABS(F6-75))</f>
        <v>0.8049999999999999</v>
      </c>
      <c r="H6" s="39"/>
      <c r="I6" s="39"/>
      <c r="J6" s="39"/>
      <c r="L6" s="57">
        <v>40</v>
      </c>
      <c r="M6" s="58">
        <f>0.82+(4.5/L6)</f>
        <v>0.9325</v>
      </c>
    </row>
    <row r="7" spans="2:13" ht="12.75">
      <c r="B7" s="57">
        <v>30</v>
      </c>
      <c r="C7" s="58">
        <f aca="true" t="shared" si="1" ref="C7:C23">25/B7</f>
        <v>0.8333333333333334</v>
      </c>
      <c r="D7" s="39"/>
      <c r="F7" s="57">
        <v>20</v>
      </c>
      <c r="G7" s="58">
        <f t="shared" si="0"/>
        <v>0.835</v>
      </c>
      <c r="H7" s="39"/>
      <c r="I7" s="39"/>
      <c r="J7" s="39"/>
      <c r="L7" s="57">
        <v>55</v>
      </c>
      <c r="M7" s="58">
        <f aca="true" t="shared" si="2" ref="M7:M15">0.82+(4.5/L7)</f>
        <v>0.9018181818181817</v>
      </c>
    </row>
    <row r="8" spans="2:13" ht="12.75">
      <c r="B8" s="57">
        <v>32</v>
      </c>
      <c r="C8" s="58">
        <f t="shared" si="1"/>
        <v>0.78125</v>
      </c>
      <c r="D8" s="39"/>
      <c r="F8" s="57">
        <v>30</v>
      </c>
      <c r="G8" s="58">
        <f t="shared" si="0"/>
        <v>0.865</v>
      </c>
      <c r="H8" s="39"/>
      <c r="I8" s="39"/>
      <c r="J8" s="39"/>
      <c r="L8" s="57">
        <v>70</v>
      </c>
      <c r="M8" s="58">
        <f t="shared" si="2"/>
        <v>0.8842857142857142</v>
      </c>
    </row>
    <row r="9" spans="2:13" ht="12.75">
      <c r="B9" s="57">
        <v>34</v>
      </c>
      <c r="C9" s="58">
        <f t="shared" si="1"/>
        <v>0.7352941176470589</v>
      </c>
      <c r="D9" s="39"/>
      <c r="F9" s="57">
        <v>40</v>
      </c>
      <c r="G9" s="58">
        <f t="shared" si="0"/>
        <v>0.895</v>
      </c>
      <c r="H9" s="39"/>
      <c r="I9" s="39"/>
      <c r="J9" s="39"/>
      <c r="L9" s="57">
        <v>85</v>
      </c>
      <c r="M9" s="58">
        <f t="shared" si="2"/>
        <v>0.8729411764705882</v>
      </c>
    </row>
    <row r="10" spans="2:13" ht="12.75">
      <c r="B10" s="57">
        <v>36</v>
      </c>
      <c r="C10" s="58">
        <f t="shared" si="1"/>
        <v>0.6944444444444444</v>
      </c>
      <c r="D10" s="39"/>
      <c r="F10" s="57">
        <v>50</v>
      </c>
      <c r="G10" s="58">
        <f t="shared" si="0"/>
        <v>0.925</v>
      </c>
      <c r="H10" s="39"/>
      <c r="I10" s="39"/>
      <c r="J10" s="39"/>
      <c r="L10" s="57">
        <v>100</v>
      </c>
      <c r="M10" s="58">
        <f t="shared" si="2"/>
        <v>0.865</v>
      </c>
    </row>
    <row r="11" spans="2:13" ht="12.75">
      <c r="B11" s="57">
        <v>38</v>
      </c>
      <c r="C11" s="58">
        <f t="shared" si="1"/>
        <v>0.6578947368421053</v>
      </c>
      <c r="D11" s="39"/>
      <c r="F11" s="57">
        <v>60</v>
      </c>
      <c r="G11" s="58">
        <f t="shared" si="0"/>
        <v>0.955</v>
      </c>
      <c r="H11" s="39"/>
      <c r="I11" s="39"/>
      <c r="J11" s="39"/>
      <c r="L11" s="57">
        <v>115</v>
      </c>
      <c r="M11" s="58">
        <f t="shared" si="2"/>
        <v>0.8591304347826086</v>
      </c>
    </row>
    <row r="12" spans="2:13" ht="12.75">
      <c r="B12" s="57">
        <v>40</v>
      </c>
      <c r="C12" s="58">
        <f t="shared" si="1"/>
        <v>0.625</v>
      </c>
      <c r="D12" s="39"/>
      <c r="F12" s="57">
        <v>70</v>
      </c>
      <c r="G12" s="58">
        <f t="shared" si="0"/>
        <v>0.985</v>
      </c>
      <c r="H12" s="39"/>
      <c r="I12" s="39"/>
      <c r="J12" s="39"/>
      <c r="L12" s="57">
        <v>130</v>
      </c>
      <c r="M12" s="58">
        <f t="shared" si="2"/>
        <v>0.8546153846153846</v>
      </c>
    </row>
    <row r="13" spans="2:13" ht="12.75">
      <c r="B13" s="57">
        <v>42</v>
      </c>
      <c r="C13" s="58">
        <f t="shared" si="1"/>
        <v>0.5952380952380952</v>
      </c>
      <c r="D13" s="39"/>
      <c r="F13" s="57">
        <v>80</v>
      </c>
      <c r="G13" s="58">
        <f t="shared" si="0"/>
        <v>0.985</v>
      </c>
      <c r="H13" s="39"/>
      <c r="I13" s="39"/>
      <c r="J13" s="39"/>
      <c r="L13" s="57">
        <v>145</v>
      </c>
      <c r="M13" s="58">
        <f t="shared" si="2"/>
        <v>0.8510344827586206</v>
      </c>
    </row>
    <row r="14" spans="2:13" ht="12.75">
      <c r="B14" s="57">
        <v>44</v>
      </c>
      <c r="C14" s="58">
        <f t="shared" si="1"/>
        <v>0.5681818181818182</v>
      </c>
      <c r="D14" s="39"/>
      <c r="F14" s="57">
        <v>90</v>
      </c>
      <c r="G14" s="58">
        <f t="shared" si="0"/>
        <v>0.955</v>
      </c>
      <c r="H14" s="39"/>
      <c r="I14" s="39"/>
      <c r="J14" s="39"/>
      <c r="L14" s="57">
        <v>160</v>
      </c>
      <c r="M14" s="58">
        <f t="shared" si="2"/>
        <v>0.8481249999999999</v>
      </c>
    </row>
    <row r="15" spans="2:13" ht="12.75">
      <c r="B15" s="57">
        <v>46</v>
      </c>
      <c r="C15" s="58">
        <f t="shared" si="1"/>
        <v>0.5434782608695652</v>
      </c>
      <c r="D15" s="39"/>
      <c r="F15" s="57">
        <v>100</v>
      </c>
      <c r="G15" s="58">
        <f t="shared" si="0"/>
        <v>0.925</v>
      </c>
      <c r="H15" s="39"/>
      <c r="I15" s="39"/>
      <c r="J15" s="39"/>
      <c r="L15" s="57">
        <v>175</v>
      </c>
      <c r="M15" s="58">
        <f t="shared" si="2"/>
        <v>0.8457142857142856</v>
      </c>
    </row>
    <row r="16" spans="2:13" ht="13.5" thickBot="1">
      <c r="B16" s="57">
        <v>48</v>
      </c>
      <c r="C16" s="58">
        <f t="shared" si="1"/>
        <v>0.5208333333333334</v>
      </c>
      <c r="D16" s="39"/>
      <c r="F16" s="57">
        <v>110</v>
      </c>
      <c r="G16" s="58">
        <f t="shared" si="0"/>
        <v>0.895</v>
      </c>
      <c r="H16" s="39"/>
      <c r="I16" s="39"/>
      <c r="J16" s="39"/>
      <c r="L16" s="59" t="s">
        <v>82</v>
      </c>
      <c r="M16" s="60">
        <v>0</v>
      </c>
    </row>
    <row r="17" spans="2:12" ht="12.75">
      <c r="B17" s="57">
        <v>50</v>
      </c>
      <c r="C17" s="58">
        <f t="shared" si="1"/>
        <v>0.5</v>
      </c>
      <c r="D17" s="39"/>
      <c r="F17" s="57">
        <v>120</v>
      </c>
      <c r="G17" s="58">
        <f t="shared" si="0"/>
        <v>0.865</v>
      </c>
      <c r="H17" s="39"/>
      <c r="I17" s="39"/>
      <c r="J17" s="39"/>
      <c r="L17" s="41" t="s">
        <v>103</v>
      </c>
    </row>
    <row r="18" spans="2:10" ht="12.75">
      <c r="B18" s="57">
        <v>52</v>
      </c>
      <c r="C18" s="58">
        <f t="shared" si="1"/>
        <v>0.4807692307692308</v>
      </c>
      <c r="D18" s="39"/>
      <c r="F18" s="57">
        <v>130</v>
      </c>
      <c r="G18" s="58">
        <f t="shared" si="0"/>
        <v>0.835</v>
      </c>
      <c r="H18" s="39"/>
      <c r="I18" s="39"/>
      <c r="J18" s="39"/>
    </row>
    <row r="19" spans="2:10" ht="13.5" thickBot="1">
      <c r="B19" s="57">
        <v>54</v>
      </c>
      <c r="C19" s="58">
        <f t="shared" si="1"/>
        <v>0.46296296296296297</v>
      </c>
      <c r="D19" s="39"/>
      <c r="F19" s="57">
        <v>140</v>
      </c>
      <c r="G19" s="58">
        <f t="shared" si="0"/>
        <v>0.8049999999999999</v>
      </c>
      <c r="H19" s="39"/>
      <c r="I19" s="39"/>
      <c r="J19" s="39"/>
    </row>
    <row r="20" spans="2:13" ht="12.75">
      <c r="B20" s="57">
        <v>56</v>
      </c>
      <c r="C20" s="58">
        <f t="shared" si="1"/>
        <v>0.44642857142857145</v>
      </c>
      <c r="D20" s="39"/>
      <c r="F20" s="57">
        <v>150</v>
      </c>
      <c r="G20" s="58">
        <f t="shared" si="0"/>
        <v>0.775</v>
      </c>
      <c r="H20" s="39"/>
      <c r="I20" s="39"/>
      <c r="J20" s="39"/>
      <c r="L20" s="51" t="s">
        <v>87</v>
      </c>
      <c r="M20" s="62" t="s">
        <v>89</v>
      </c>
    </row>
    <row r="21" spans="2:13" ht="13.5" thickBot="1">
      <c r="B21" s="57">
        <v>58</v>
      </c>
      <c r="C21" s="58">
        <f t="shared" si="1"/>
        <v>0.43103448275862066</v>
      </c>
      <c r="D21" s="39"/>
      <c r="F21" s="57">
        <v>160</v>
      </c>
      <c r="G21" s="58">
        <f t="shared" si="0"/>
        <v>0.745</v>
      </c>
      <c r="H21" s="39"/>
      <c r="I21" s="39"/>
      <c r="J21" s="39"/>
      <c r="L21" s="53" t="s">
        <v>90</v>
      </c>
      <c r="M21" s="54" t="s">
        <v>91</v>
      </c>
    </row>
    <row r="22" spans="2:13" ht="13.5" thickTop="1">
      <c r="B22" s="57">
        <v>60</v>
      </c>
      <c r="C22" s="58">
        <f t="shared" si="1"/>
        <v>0.4166666666666667</v>
      </c>
      <c r="D22" s="39"/>
      <c r="F22" s="57">
        <v>170</v>
      </c>
      <c r="G22" s="58">
        <f t="shared" si="0"/>
        <v>0.715</v>
      </c>
      <c r="H22" s="39"/>
      <c r="I22" s="39"/>
      <c r="J22" s="39"/>
      <c r="L22" s="55">
        <v>0</v>
      </c>
      <c r="M22" s="56">
        <v>1</v>
      </c>
    </row>
    <row r="23" spans="2:13" ht="12.75">
      <c r="B23" s="57">
        <v>63</v>
      </c>
      <c r="C23" s="58">
        <f t="shared" si="1"/>
        <v>0.3968253968253968</v>
      </c>
      <c r="D23" s="39"/>
      <c r="F23" s="57">
        <v>175</v>
      </c>
      <c r="G23" s="58">
        <f t="shared" si="0"/>
        <v>0.7</v>
      </c>
      <c r="H23" s="39"/>
      <c r="I23" s="39"/>
      <c r="J23" s="39"/>
      <c r="L23" s="57">
        <v>15</v>
      </c>
      <c r="M23" s="58">
        <f>1-(0.0032*L23)</f>
        <v>0.952</v>
      </c>
    </row>
    <row r="24" spans="2:13" ht="13.5" thickBot="1">
      <c r="B24" s="59" t="s">
        <v>75</v>
      </c>
      <c r="C24" s="60">
        <v>0</v>
      </c>
      <c r="D24" s="39"/>
      <c r="F24" s="59" t="s">
        <v>82</v>
      </c>
      <c r="G24" s="60">
        <v>0</v>
      </c>
      <c r="H24" s="39"/>
      <c r="I24" s="39"/>
      <c r="J24" s="39"/>
      <c r="L24" s="57">
        <v>30</v>
      </c>
      <c r="M24" s="58">
        <f aca="true" t="shared" si="3" ref="M24:M30">1-(0.0032*L24)</f>
        <v>0.904</v>
      </c>
    </row>
    <row r="25" spans="2:13" ht="12.75">
      <c r="B25" s="41" t="s">
        <v>101</v>
      </c>
      <c r="F25" s="41" t="s">
        <v>102</v>
      </c>
      <c r="L25" s="57">
        <v>45</v>
      </c>
      <c r="M25" s="58">
        <f t="shared" si="3"/>
        <v>0.856</v>
      </c>
    </row>
    <row r="26" spans="12:13" ht="13.5" thickBot="1">
      <c r="L26" s="57">
        <v>60</v>
      </c>
      <c r="M26" s="58">
        <f t="shared" si="3"/>
        <v>0.808</v>
      </c>
    </row>
    <row r="27" spans="2:13" ht="12.75">
      <c r="B27" s="63" t="s">
        <v>106</v>
      </c>
      <c r="C27" s="74" t="s">
        <v>108</v>
      </c>
      <c r="D27" s="74"/>
      <c r="E27" s="75" t="s">
        <v>113</v>
      </c>
      <c r="F27" s="74"/>
      <c r="G27" s="76" t="s">
        <v>114</v>
      </c>
      <c r="H27" s="77"/>
      <c r="L27" s="57">
        <v>75</v>
      </c>
      <c r="M27" s="58">
        <f t="shared" si="3"/>
        <v>0.76</v>
      </c>
    </row>
    <row r="28" spans="2:13" ht="13.5" thickBot="1">
      <c r="B28" s="65" t="s">
        <v>107</v>
      </c>
      <c r="C28" s="35" t="s">
        <v>98</v>
      </c>
      <c r="D28" s="35" t="s">
        <v>109</v>
      </c>
      <c r="E28" s="35" t="s">
        <v>110</v>
      </c>
      <c r="F28" s="35" t="s">
        <v>109</v>
      </c>
      <c r="G28" s="35" t="s">
        <v>110</v>
      </c>
      <c r="H28" s="54" t="s">
        <v>109</v>
      </c>
      <c r="L28" s="57">
        <v>90</v>
      </c>
      <c r="M28" s="58">
        <f t="shared" si="3"/>
        <v>0.712</v>
      </c>
    </row>
    <row r="29" spans="2:13" ht="13.5" thickTop="1">
      <c r="B29" s="55" t="s">
        <v>111</v>
      </c>
      <c r="C29" s="43">
        <v>1</v>
      </c>
      <c r="D29" s="46">
        <v>1</v>
      </c>
      <c r="E29" s="47">
        <v>0.95</v>
      </c>
      <c r="F29" s="44">
        <v>0.95</v>
      </c>
      <c r="G29" s="43">
        <v>0.85</v>
      </c>
      <c r="H29" s="78">
        <v>0.85</v>
      </c>
      <c r="L29" s="57">
        <v>120</v>
      </c>
      <c r="M29" s="58">
        <f t="shared" si="3"/>
        <v>0.616</v>
      </c>
    </row>
    <row r="30" spans="2:13" ht="12.75">
      <c r="B30" s="57">
        <v>0.5</v>
      </c>
      <c r="C30" s="42">
        <v>0.97</v>
      </c>
      <c r="D30" s="36">
        <v>0.97</v>
      </c>
      <c r="E30" s="48">
        <v>0.92</v>
      </c>
      <c r="F30" s="45">
        <v>0.92</v>
      </c>
      <c r="G30" s="42">
        <v>0.81</v>
      </c>
      <c r="H30" s="45">
        <v>0.81</v>
      </c>
      <c r="L30" s="57">
        <v>135</v>
      </c>
      <c r="M30" s="58">
        <f t="shared" si="3"/>
        <v>0.5680000000000001</v>
      </c>
    </row>
    <row r="31" spans="2:13" ht="13.5" thickBot="1">
      <c r="B31" s="57">
        <v>1</v>
      </c>
      <c r="C31" s="42">
        <v>0.94</v>
      </c>
      <c r="D31" s="36">
        <v>0.94</v>
      </c>
      <c r="E31" s="48">
        <v>0.88</v>
      </c>
      <c r="F31" s="45">
        <v>0.88</v>
      </c>
      <c r="G31" s="42">
        <v>0.75</v>
      </c>
      <c r="H31" s="45">
        <v>0.75</v>
      </c>
      <c r="L31" s="59" t="s">
        <v>92</v>
      </c>
      <c r="M31" s="60">
        <v>0</v>
      </c>
    </row>
    <row r="32" spans="2:11" ht="12.75">
      <c r="B32" s="57">
        <v>2</v>
      </c>
      <c r="C32" s="42">
        <v>0.91</v>
      </c>
      <c r="D32" s="36">
        <v>0.91</v>
      </c>
      <c r="E32" s="48">
        <v>0.84</v>
      </c>
      <c r="F32" s="45">
        <v>0.84</v>
      </c>
      <c r="G32" s="42">
        <v>0.65</v>
      </c>
      <c r="H32" s="45">
        <v>0.65</v>
      </c>
      <c r="K32" s="41" t="s">
        <v>104</v>
      </c>
    </row>
    <row r="33" spans="2:8" ht="12.75">
      <c r="B33" s="57">
        <v>3</v>
      </c>
      <c r="C33" s="42">
        <v>0.88</v>
      </c>
      <c r="D33" s="36">
        <v>0.88</v>
      </c>
      <c r="E33" s="48">
        <v>0.79</v>
      </c>
      <c r="F33" s="45">
        <v>0.79</v>
      </c>
      <c r="G33" s="42">
        <v>0.55</v>
      </c>
      <c r="H33" s="45">
        <v>0.55</v>
      </c>
    </row>
    <row r="34" spans="2:8" ht="12.75">
      <c r="B34" s="57">
        <v>4</v>
      </c>
      <c r="C34" s="42">
        <v>0.84</v>
      </c>
      <c r="D34" s="36">
        <v>0.84</v>
      </c>
      <c r="E34" s="48">
        <v>0.72</v>
      </c>
      <c r="F34" s="45">
        <v>0.72</v>
      </c>
      <c r="G34" s="42">
        <v>0.45</v>
      </c>
      <c r="H34" s="45">
        <v>0.45</v>
      </c>
    </row>
    <row r="35" spans="2:10" ht="12.75">
      <c r="B35" s="57">
        <v>5</v>
      </c>
      <c r="C35" s="42">
        <v>0.8</v>
      </c>
      <c r="D35" s="36">
        <v>0.8</v>
      </c>
      <c r="E35" s="48">
        <v>0.6</v>
      </c>
      <c r="F35" s="45">
        <v>0.6</v>
      </c>
      <c r="G35" s="42">
        <v>0.35</v>
      </c>
      <c r="H35" s="45">
        <v>0.35</v>
      </c>
      <c r="I35" s="38"/>
      <c r="J35" s="38"/>
    </row>
    <row r="36" spans="2:9" ht="12.75">
      <c r="B36" s="57">
        <v>6</v>
      </c>
      <c r="C36" s="42">
        <v>0.75</v>
      </c>
      <c r="D36" s="36">
        <v>0.75</v>
      </c>
      <c r="E36" s="48">
        <v>0.5</v>
      </c>
      <c r="F36" s="45">
        <v>0.5</v>
      </c>
      <c r="G36" s="42">
        <v>0.27</v>
      </c>
      <c r="H36" s="45">
        <v>0.27</v>
      </c>
      <c r="I36" s="38"/>
    </row>
    <row r="37" spans="2:10" ht="13.5" thickBot="1">
      <c r="B37" s="57">
        <v>7</v>
      </c>
      <c r="C37" s="42">
        <v>0.7</v>
      </c>
      <c r="D37" s="36">
        <v>0.7</v>
      </c>
      <c r="E37" s="48">
        <v>0.42</v>
      </c>
      <c r="F37" s="45">
        <v>0.42</v>
      </c>
      <c r="G37" s="42">
        <v>0.22</v>
      </c>
      <c r="H37" s="45">
        <v>0.22</v>
      </c>
      <c r="I37" s="38"/>
      <c r="J37" s="38"/>
    </row>
    <row r="38" spans="2:13" ht="13.5" thickBot="1">
      <c r="B38" s="57">
        <v>8</v>
      </c>
      <c r="C38" s="42">
        <v>0.6</v>
      </c>
      <c r="D38" s="36">
        <v>0.6</v>
      </c>
      <c r="E38" s="48">
        <v>0.35</v>
      </c>
      <c r="F38" s="45">
        <v>0.35</v>
      </c>
      <c r="G38" s="42">
        <v>0.18</v>
      </c>
      <c r="H38" s="45">
        <v>0.18</v>
      </c>
      <c r="I38" s="38"/>
      <c r="J38" s="38" t="s">
        <v>117</v>
      </c>
      <c r="K38" s="106">
        <v>40</v>
      </c>
      <c r="L38" s="34" t="s">
        <v>78</v>
      </c>
      <c r="M38" s="33">
        <f>25/K38</f>
        <v>0.625</v>
      </c>
    </row>
    <row r="39" spans="2:13" ht="13.5" thickBot="1">
      <c r="B39" s="57">
        <v>9</v>
      </c>
      <c r="C39" s="42">
        <v>0.52</v>
      </c>
      <c r="D39" s="36">
        <v>0.52</v>
      </c>
      <c r="E39" s="48">
        <v>0.3</v>
      </c>
      <c r="F39" s="45">
        <v>0.3</v>
      </c>
      <c r="G39" s="42">
        <v>0</v>
      </c>
      <c r="H39" s="45">
        <v>0.15</v>
      </c>
      <c r="I39" s="38"/>
      <c r="J39" s="38"/>
      <c r="M39" s="33"/>
    </row>
    <row r="40" spans="2:13" ht="13.5" thickBot="1">
      <c r="B40" s="57">
        <v>10</v>
      </c>
      <c r="C40" s="42">
        <v>0.45</v>
      </c>
      <c r="D40" s="36">
        <v>0.45</v>
      </c>
      <c r="E40" s="48">
        <v>0.26</v>
      </c>
      <c r="F40" s="45">
        <v>0.26</v>
      </c>
      <c r="G40" s="42">
        <v>0</v>
      </c>
      <c r="H40" s="45">
        <v>0.13</v>
      </c>
      <c r="I40" s="38"/>
      <c r="J40" s="38" t="s">
        <v>118</v>
      </c>
      <c r="K40" s="106">
        <v>100</v>
      </c>
      <c r="L40" s="34" t="s">
        <v>79</v>
      </c>
      <c r="M40" s="33">
        <f>1-(0.003*ABS(K40-75))</f>
        <v>0.925</v>
      </c>
    </row>
    <row r="41" spans="2:13" ht="13.5" thickBot="1">
      <c r="B41" s="57">
        <v>11</v>
      </c>
      <c r="C41" s="42">
        <v>0.41</v>
      </c>
      <c r="D41" s="36">
        <v>0.41</v>
      </c>
      <c r="E41" s="48">
        <v>0.23</v>
      </c>
      <c r="F41" s="45">
        <v>0.23</v>
      </c>
      <c r="G41" s="42">
        <v>0</v>
      </c>
      <c r="H41" s="45">
        <v>0</v>
      </c>
      <c r="I41" s="38"/>
      <c r="J41" s="38"/>
      <c r="M41" s="33"/>
    </row>
    <row r="42" spans="2:13" ht="13.5" thickBot="1">
      <c r="B42" s="57">
        <v>12</v>
      </c>
      <c r="C42" s="42">
        <v>0.37</v>
      </c>
      <c r="D42" s="36">
        <v>0.37</v>
      </c>
      <c r="E42" s="48">
        <v>0.21</v>
      </c>
      <c r="F42" s="45">
        <v>0.21</v>
      </c>
      <c r="G42" s="42">
        <v>0</v>
      </c>
      <c r="H42" s="45">
        <v>0</v>
      </c>
      <c r="I42" s="38"/>
      <c r="J42" s="38" t="s">
        <v>119</v>
      </c>
      <c r="K42" s="106">
        <v>97</v>
      </c>
      <c r="L42" s="34" t="s">
        <v>88</v>
      </c>
      <c r="M42" s="33">
        <f>0.82+(4.5/K42)</f>
        <v>0.8663917525773195</v>
      </c>
    </row>
    <row r="43" spans="2:13" ht="13.5" thickBot="1">
      <c r="B43" s="57">
        <v>13</v>
      </c>
      <c r="C43" s="42">
        <v>0</v>
      </c>
      <c r="D43" s="36">
        <v>0.34</v>
      </c>
      <c r="E43" s="48">
        <v>0</v>
      </c>
      <c r="F43" s="45">
        <v>0</v>
      </c>
      <c r="G43" s="42">
        <v>0</v>
      </c>
      <c r="H43" s="45">
        <v>0</v>
      </c>
      <c r="I43" s="38"/>
      <c r="J43" s="38"/>
      <c r="M43" s="33"/>
    </row>
    <row r="44" spans="2:13" ht="13.5" thickBot="1">
      <c r="B44" s="57">
        <v>14</v>
      </c>
      <c r="C44" s="42">
        <v>0</v>
      </c>
      <c r="D44" s="36">
        <v>0.31</v>
      </c>
      <c r="E44" s="48">
        <v>0</v>
      </c>
      <c r="F44" s="45">
        <v>0</v>
      </c>
      <c r="G44" s="42">
        <v>0</v>
      </c>
      <c r="H44" s="45">
        <v>0</v>
      </c>
      <c r="I44" s="38"/>
      <c r="J44" s="38" t="s">
        <v>120</v>
      </c>
      <c r="K44" s="106">
        <v>62</v>
      </c>
      <c r="L44" s="34" t="s">
        <v>87</v>
      </c>
      <c r="M44" s="33">
        <f>1-(0.0032*K44)</f>
        <v>0.8016</v>
      </c>
    </row>
    <row r="45" spans="2:13" ht="13.5" thickBot="1">
      <c r="B45" s="57">
        <v>15</v>
      </c>
      <c r="C45" s="42">
        <v>0</v>
      </c>
      <c r="D45" s="36">
        <v>0.28</v>
      </c>
      <c r="E45" s="48">
        <v>0</v>
      </c>
      <c r="F45" s="45">
        <v>0</v>
      </c>
      <c r="G45" s="42">
        <v>0</v>
      </c>
      <c r="H45" s="45">
        <v>0</v>
      </c>
      <c r="I45" s="38"/>
      <c r="J45" s="38"/>
      <c r="M45" s="33"/>
    </row>
    <row r="46" spans="2:13" ht="13.5" thickBot="1">
      <c r="B46" s="59" t="s">
        <v>112</v>
      </c>
      <c r="C46" s="79">
        <v>0</v>
      </c>
      <c r="D46" s="80">
        <v>0</v>
      </c>
      <c r="E46" s="81">
        <v>0</v>
      </c>
      <c r="F46" s="82">
        <v>0</v>
      </c>
      <c r="G46" s="79">
        <v>0</v>
      </c>
      <c r="H46" s="82">
        <v>0</v>
      </c>
      <c r="I46" s="38"/>
      <c r="J46" s="38" t="s">
        <v>122</v>
      </c>
      <c r="K46" s="106">
        <v>11</v>
      </c>
      <c r="L46" s="34" t="s">
        <v>123</v>
      </c>
      <c r="M46" s="108">
        <v>0.41</v>
      </c>
    </row>
    <row r="47" spans="2:13" ht="13.5" thickBot="1">
      <c r="B47" s="41" t="s">
        <v>115</v>
      </c>
      <c r="I47" s="38"/>
      <c r="J47" s="38"/>
      <c r="M47" s="33" t="s">
        <v>178</v>
      </c>
    </row>
    <row r="48" spans="9:13" ht="13.5" thickBot="1">
      <c r="I48" s="38"/>
      <c r="J48" s="38" t="s">
        <v>121</v>
      </c>
      <c r="K48" s="106" t="s">
        <v>179</v>
      </c>
      <c r="L48" s="34" t="s">
        <v>159</v>
      </c>
      <c r="M48" s="108">
        <v>0.95</v>
      </c>
    </row>
    <row r="49" spans="2:13" ht="13.5" thickBot="1">
      <c r="B49" s="63" t="s">
        <v>96</v>
      </c>
      <c r="C49" s="64" t="s">
        <v>100</v>
      </c>
      <c r="D49" s="62"/>
      <c r="I49" s="38"/>
      <c r="J49" s="38"/>
      <c r="M49" s="33" t="s">
        <v>178</v>
      </c>
    </row>
    <row r="50" spans="2:13" ht="13.5" thickBot="1">
      <c r="B50" s="65" t="s">
        <v>97</v>
      </c>
      <c r="C50" s="40" t="s">
        <v>98</v>
      </c>
      <c r="D50" s="66" t="s">
        <v>99</v>
      </c>
      <c r="I50" s="38"/>
      <c r="J50" s="38" t="s">
        <v>124</v>
      </c>
      <c r="K50" s="107">
        <v>23</v>
      </c>
      <c r="L50" t="s">
        <v>127</v>
      </c>
      <c r="M50" s="33"/>
    </row>
    <row r="51" spans="2:10" ht="14.25" thickBot="1" thickTop="1">
      <c r="B51" s="67" t="s">
        <v>93</v>
      </c>
      <c r="C51" s="49">
        <v>1</v>
      </c>
      <c r="D51" s="68">
        <v>1</v>
      </c>
      <c r="I51" s="38"/>
      <c r="J51" s="38"/>
    </row>
    <row r="52" spans="2:13" ht="13.5" thickBot="1">
      <c r="B52" s="69" t="s">
        <v>94</v>
      </c>
      <c r="C52" s="50">
        <v>0.95</v>
      </c>
      <c r="D52" s="70">
        <v>1</v>
      </c>
      <c r="I52" s="38"/>
      <c r="J52" t="s">
        <v>129</v>
      </c>
      <c r="M52" s="109">
        <v>3.5</v>
      </c>
    </row>
    <row r="53" spans="2:10" ht="13.5" thickBot="1">
      <c r="B53" s="71" t="s">
        <v>95</v>
      </c>
      <c r="C53" s="72">
        <v>0.9</v>
      </c>
      <c r="D53" s="73">
        <v>0.9</v>
      </c>
      <c r="I53" s="38"/>
      <c r="J53" s="38"/>
    </row>
    <row r="54" spans="2:10" ht="12.75">
      <c r="B54" s="41" t="s">
        <v>105</v>
      </c>
      <c r="I54" s="38"/>
      <c r="J54" s="38"/>
    </row>
    <row r="56" ht="12" customHeight="1">
      <c r="B56" s="1" t="s">
        <v>160</v>
      </c>
    </row>
    <row r="57" spans="2:7" ht="12.75">
      <c r="B57" t="s">
        <v>116</v>
      </c>
      <c r="G57" s="23"/>
    </row>
    <row r="58" spans="2:12" ht="12.75">
      <c r="B58" t="s">
        <v>125</v>
      </c>
      <c r="C58">
        <f>K50</f>
        <v>23</v>
      </c>
      <c r="D58" s="33">
        <f>M38</f>
        <v>0.625</v>
      </c>
      <c r="E58" s="33">
        <f>M40</f>
        <v>0.925</v>
      </c>
      <c r="F58" s="33">
        <f>M42</f>
        <v>0.8663917525773195</v>
      </c>
      <c r="G58" s="33">
        <f>M44</f>
        <v>0.8016</v>
      </c>
      <c r="H58">
        <f>M46</f>
        <v>0.41</v>
      </c>
      <c r="I58">
        <f>M48</f>
        <v>0.95</v>
      </c>
      <c r="K58" s="32" t="s">
        <v>126</v>
      </c>
      <c r="L58">
        <f>C58*D58*E58*F58*G58*H58*I58</f>
        <v>3.596905816128865</v>
      </c>
    </row>
    <row r="59" spans="4:11" ht="4.5" customHeight="1" thickBot="1">
      <c r="D59" s="33"/>
      <c r="E59" s="33"/>
      <c r="F59" s="33"/>
      <c r="G59" s="33"/>
      <c r="K59" s="32"/>
    </row>
    <row r="60" spans="2:13" ht="13.5" thickBot="1">
      <c r="B60" t="s">
        <v>130</v>
      </c>
      <c r="C60" t="s">
        <v>131</v>
      </c>
      <c r="E60">
        <f>M52</f>
        <v>3.5</v>
      </c>
      <c r="F60" s="32" t="s">
        <v>132</v>
      </c>
      <c r="G60">
        <f>L58</f>
        <v>3.596905816128865</v>
      </c>
      <c r="H60" s="32" t="s">
        <v>133</v>
      </c>
      <c r="I60" s="94">
        <f>M52/L58</f>
        <v>0.9730585616964642</v>
      </c>
      <c r="K60" s="92" t="s">
        <v>128</v>
      </c>
      <c r="L60" s="1"/>
      <c r="M60" s="91" t="str">
        <f>IF(I60&gt;1,"NO TOLERABLE","TOLERABLE")</f>
        <v>TOLERABLE</v>
      </c>
    </row>
    <row r="62" ht="12.75">
      <c r="B62" s="1" t="s">
        <v>177</v>
      </c>
    </row>
    <row r="64" spans="2:10" ht="13.5" thickBot="1">
      <c r="B64" s="1" t="s">
        <v>134</v>
      </c>
      <c r="F64" s="1" t="s">
        <v>135</v>
      </c>
      <c r="J64" s="1" t="s">
        <v>136</v>
      </c>
    </row>
    <row r="65" spans="2:13" ht="13.5" thickBot="1">
      <c r="B65" s="19" t="s">
        <v>129</v>
      </c>
      <c r="C65" s="20"/>
      <c r="D65" s="109">
        <v>20</v>
      </c>
      <c r="E65" s="21"/>
      <c r="F65" s="19" t="s">
        <v>129</v>
      </c>
      <c r="G65" s="20"/>
      <c r="H65" s="109">
        <v>25</v>
      </c>
      <c r="I65" s="21"/>
      <c r="J65" s="19" t="s">
        <v>129</v>
      </c>
      <c r="K65" s="20"/>
      <c r="L65" s="109">
        <v>15</v>
      </c>
      <c r="M65" s="21"/>
    </row>
    <row r="66" spans="2:13" ht="13.5" thickBot="1">
      <c r="B66" s="22"/>
      <c r="C66" s="23"/>
      <c r="D66" s="23"/>
      <c r="E66" s="24"/>
      <c r="F66" s="22"/>
      <c r="G66" s="23"/>
      <c r="H66" s="23"/>
      <c r="I66" s="24"/>
      <c r="J66" s="22"/>
      <c r="K66" s="23"/>
      <c r="L66" s="23"/>
      <c r="M66" s="24"/>
    </row>
    <row r="67" spans="2:13" ht="13.5" thickBot="1">
      <c r="B67" s="85" t="s">
        <v>117</v>
      </c>
      <c r="C67" s="106">
        <v>25</v>
      </c>
      <c r="D67" s="84" t="s">
        <v>78</v>
      </c>
      <c r="E67" s="86">
        <f>25/C67</f>
        <v>1</v>
      </c>
      <c r="F67" s="85" t="s">
        <v>117</v>
      </c>
      <c r="G67" s="106">
        <v>30</v>
      </c>
      <c r="H67" s="84" t="s">
        <v>78</v>
      </c>
      <c r="I67" s="112">
        <f>25/G67</f>
        <v>0.8333333333333334</v>
      </c>
      <c r="J67" s="85" t="s">
        <v>117</v>
      </c>
      <c r="K67" s="106">
        <v>30</v>
      </c>
      <c r="L67" s="84" t="s">
        <v>78</v>
      </c>
      <c r="M67" s="86">
        <f>25/K67</f>
        <v>0.8333333333333334</v>
      </c>
    </row>
    <row r="68" spans="2:13" ht="13.5" thickBot="1">
      <c r="B68" s="85"/>
      <c r="C68" s="23"/>
      <c r="D68" s="23"/>
      <c r="E68" s="86"/>
      <c r="F68" s="85"/>
      <c r="G68" s="23"/>
      <c r="H68" s="23"/>
      <c r="I68" s="86"/>
      <c r="J68" s="85"/>
      <c r="K68" s="23"/>
      <c r="L68" s="23"/>
      <c r="M68" s="86"/>
    </row>
    <row r="69" spans="2:13" ht="13.5" thickBot="1">
      <c r="B69" s="85" t="s">
        <v>118</v>
      </c>
      <c r="C69" s="106">
        <v>75</v>
      </c>
      <c r="D69" s="84" t="s">
        <v>79</v>
      </c>
      <c r="E69" s="86">
        <f>1-(0.003*ABS(C69-75))</f>
        <v>1</v>
      </c>
      <c r="F69" s="85" t="s">
        <v>118</v>
      </c>
      <c r="G69" s="106">
        <v>75</v>
      </c>
      <c r="H69" s="84" t="s">
        <v>79</v>
      </c>
      <c r="I69" s="112">
        <f>1-(0.003*ABS(G69-75))</f>
        <v>1</v>
      </c>
      <c r="J69" s="85" t="s">
        <v>118</v>
      </c>
      <c r="K69" s="106">
        <v>75</v>
      </c>
      <c r="L69" s="84" t="s">
        <v>79</v>
      </c>
      <c r="M69" s="86">
        <f>1-(0.003*ABS(K69-75))</f>
        <v>1</v>
      </c>
    </row>
    <row r="70" spans="2:13" ht="13.5" thickBot="1">
      <c r="B70" s="85"/>
      <c r="C70" s="23"/>
      <c r="D70" s="23"/>
      <c r="E70" s="86"/>
      <c r="F70" s="85"/>
      <c r="G70" s="23"/>
      <c r="H70" s="23"/>
      <c r="I70" s="86"/>
      <c r="J70" s="85"/>
      <c r="K70" s="23"/>
      <c r="L70" s="23"/>
      <c r="M70" s="86"/>
    </row>
    <row r="71" spans="2:13" ht="13.5" thickBot="1">
      <c r="B71" s="85" t="s">
        <v>119</v>
      </c>
      <c r="C71" s="106">
        <v>5</v>
      </c>
      <c r="D71" s="84" t="s">
        <v>88</v>
      </c>
      <c r="E71" s="86">
        <f>IF(C71&gt;25,(0.82+(4.5/C71)),1)</f>
        <v>1</v>
      </c>
      <c r="F71" s="85" t="s">
        <v>119</v>
      </c>
      <c r="G71" s="106">
        <v>9</v>
      </c>
      <c r="H71" s="84" t="s">
        <v>88</v>
      </c>
      <c r="I71" s="112">
        <f>IF(G71&gt;25,(0.82+(4.5/C71)),1)</f>
        <v>1</v>
      </c>
      <c r="J71" s="85" t="s">
        <v>119</v>
      </c>
      <c r="K71" s="106">
        <v>5</v>
      </c>
      <c r="L71" s="84" t="s">
        <v>88</v>
      </c>
      <c r="M71" s="86">
        <f>IF(K71&gt;25,(0.82+(4.5/C71)),1)</f>
        <v>1</v>
      </c>
    </row>
    <row r="72" spans="2:13" ht="13.5" thickBot="1">
      <c r="B72" s="85"/>
      <c r="C72" s="23"/>
      <c r="D72" s="23"/>
      <c r="E72" s="86"/>
      <c r="F72" s="85"/>
      <c r="G72" s="23"/>
      <c r="H72" s="23"/>
      <c r="I72" s="86"/>
      <c r="J72" s="85"/>
      <c r="K72" s="23"/>
      <c r="L72" s="23"/>
      <c r="M72" s="86"/>
    </row>
    <row r="73" spans="2:13" ht="13.5" thickBot="1">
      <c r="B73" s="85" t="s">
        <v>120</v>
      </c>
      <c r="C73" s="106">
        <v>0</v>
      </c>
      <c r="D73" s="84" t="s">
        <v>87</v>
      </c>
      <c r="E73" s="86">
        <f>1-(0.0032*C73)</f>
        <v>1</v>
      </c>
      <c r="F73" s="85" t="s">
        <v>120</v>
      </c>
      <c r="G73" s="106">
        <v>0</v>
      </c>
      <c r="H73" s="84" t="s">
        <v>87</v>
      </c>
      <c r="I73" s="112">
        <f>1-(0.0032*G73)</f>
        <v>1</v>
      </c>
      <c r="J73" s="85" t="s">
        <v>120</v>
      </c>
      <c r="K73" s="106">
        <v>45</v>
      </c>
      <c r="L73" s="84" t="s">
        <v>87</v>
      </c>
      <c r="M73" s="86">
        <f>1-(0.0032*K73)</f>
        <v>0.856</v>
      </c>
    </row>
    <row r="74" spans="2:13" ht="13.5" thickBot="1">
      <c r="B74" s="85"/>
      <c r="C74" s="23"/>
      <c r="D74" s="23"/>
      <c r="E74" s="86"/>
      <c r="F74" s="85"/>
      <c r="G74" s="23"/>
      <c r="H74" s="23"/>
      <c r="I74" s="86"/>
      <c r="J74" s="85"/>
      <c r="K74" s="23"/>
      <c r="L74" s="23"/>
      <c r="M74" s="86"/>
    </row>
    <row r="75" spans="2:13" ht="13.5" thickBot="1">
      <c r="B75" s="85" t="s">
        <v>122</v>
      </c>
      <c r="C75" s="106">
        <v>1</v>
      </c>
      <c r="D75" s="84" t="s">
        <v>123</v>
      </c>
      <c r="E75" s="111">
        <v>0.88</v>
      </c>
      <c r="F75" s="85" t="s">
        <v>122</v>
      </c>
      <c r="G75" s="106">
        <v>9</v>
      </c>
      <c r="H75" s="84" t="s">
        <v>123</v>
      </c>
      <c r="I75" s="111">
        <v>0.84</v>
      </c>
      <c r="J75" s="85" t="s">
        <v>122</v>
      </c>
      <c r="K75" s="106">
        <v>2</v>
      </c>
      <c r="L75" s="84" t="s">
        <v>123</v>
      </c>
      <c r="M75" s="111">
        <v>0.84</v>
      </c>
    </row>
    <row r="76" spans="2:13" ht="13.5" thickBot="1">
      <c r="B76" s="85"/>
      <c r="C76" s="23"/>
      <c r="D76" s="89" t="s">
        <v>178</v>
      </c>
      <c r="E76" s="24"/>
      <c r="F76" s="85"/>
      <c r="G76" s="23"/>
      <c r="H76" s="89" t="s">
        <v>180</v>
      </c>
      <c r="J76" s="85"/>
      <c r="K76" s="23"/>
      <c r="L76" s="89" t="s">
        <v>178</v>
      </c>
      <c r="M76" s="93"/>
    </row>
    <row r="77" spans="2:13" ht="13.5" thickBot="1">
      <c r="B77" s="85" t="s">
        <v>121</v>
      </c>
      <c r="C77" s="106" t="s">
        <v>93</v>
      </c>
      <c r="D77" s="84" t="s">
        <v>159</v>
      </c>
      <c r="E77" s="110">
        <v>1</v>
      </c>
      <c r="F77" s="85" t="s">
        <v>121</v>
      </c>
      <c r="G77" s="106" t="s">
        <v>93</v>
      </c>
      <c r="H77" s="84" t="s">
        <v>159</v>
      </c>
      <c r="I77" s="110">
        <v>0.9</v>
      </c>
      <c r="J77" s="85" t="s">
        <v>121</v>
      </c>
      <c r="K77" s="106" t="s">
        <v>93</v>
      </c>
      <c r="L77" s="84" t="s">
        <v>159</v>
      </c>
      <c r="M77" s="110">
        <v>1</v>
      </c>
    </row>
    <row r="78" spans="2:13" ht="13.5" thickBot="1">
      <c r="B78" s="85"/>
      <c r="C78" s="23"/>
      <c r="D78" s="89" t="s">
        <v>178</v>
      </c>
      <c r="E78" s="24"/>
      <c r="F78" s="85"/>
      <c r="G78" s="23"/>
      <c r="H78" s="89" t="s">
        <v>180</v>
      </c>
      <c r="J78" s="85"/>
      <c r="K78" s="23"/>
      <c r="L78" s="89" t="s">
        <v>178</v>
      </c>
      <c r="M78" s="93"/>
    </row>
    <row r="79" spans="2:13" ht="13.5" thickBot="1">
      <c r="B79" s="87" t="s">
        <v>124</v>
      </c>
      <c r="C79" s="107">
        <v>23</v>
      </c>
      <c r="D79" s="26" t="s">
        <v>161</v>
      </c>
      <c r="E79" s="88"/>
      <c r="F79" s="87" t="s">
        <v>124</v>
      </c>
      <c r="G79" s="107">
        <v>23</v>
      </c>
      <c r="H79" s="26" t="s">
        <v>161</v>
      </c>
      <c r="I79" s="88"/>
      <c r="J79" s="87" t="s">
        <v>124</v>
      </c>
      <c r="K79" s="107">
        <v>23</v>
      </c>
      <c r="L79" s="26" t="s">
        <v>161</v>
      </c>
      <c r="M79" s="88"/>
    </row>
    <row r="81" spans="2:11" ht="12.75">
      <c r="B81" t="s">
        <v>137</v>
      </c>
      <c r="C81" s="33">
        <f>C79*E67*E69*E71*E73*E75*E77</f>
        <v>20.24</v>
      </c>
      <c r="F81" t="s">
        <v>137</v>
      </c>
      <c r="G81" s="33">
        <f>G79*I67*I69*I71*I73*I75*I77</f>
        <v>14.490000000000002</v>
      </c>
      <c r="J81" t="s">
        <v>137</v>
      </c>
      <c r="K81" s="33">
        <f>K79*M67*M69*M71*M73*M75*M77</f>
        <v>13.7816</v>
      </c>
    </row>
    <row r="82" spans="3:11" ht="13.5" thickBot="1">
      <c r="C82" s="33"/>
      <c r="G82" s="33"/>
      <c r="K82" s="33"/>
    </row>
    <row r="83" spans="2:11" ht="13.5" thickBot="1">
      <c r="B83" t="s">
        <v>139</v>
      </c>
      <c r="C83" s="95">
        <f>D65/C81</f>
        <v>0.9881422924901186</v>
      </c>
      <c r="F83" t="s">
        <v>140</v>
      </c>
      <c r="G83" s="95">
        <f>H65/G81</f>
        <v>1.7253278122843339</v>
      </c>
      <c r="J83" t="s">
        <v>141</v>
      </c>
      <c r="K83" s="95">
        <f>L65/K81</f>
        <v>1.0884077320485286</v>
      </c>
    </row>
    <row r="85" spans="2:3" ht="12.75">
      <c r="B85" t="s">
        <v>149</v>
      </c>
      <c r="C85" s="33">
        <f>MAX(C83,G83,K83)</f>
        <v>1.7253278122843339</v>
      </c>
    </row>
    <row r="86" spans="2:4" ht="12.75">
      <c r="B86" t="s">
        <v>150</v>
      </c>
      <c r="C86" s="33">
        <f>IF(G83&gt;C83,G83,C83)</f>
        <v>1.7253278122843339</v>
      </c>
      <c r="D86" s="33"/>
    </row>
    <row r="87" spans="2:4" ht="12.75">
      <c r="B87" t="s">
        <v>151</v>
      </c>
      <c r="C87" s="33">
        <f>IF(G83&gt;K83,G83,K83)</f>
        <v>1.7253278122843339</v>
      </c>
      <c r="D87" s="33"/>
    </row>
    <row r="88" spans="2:4" ht="12.75">
      <c r="B88" t="s">
        <v>152</v>
      </c>
      <c r="C88" s="33">
        <f>IF(C83&gt;K83,C83,K83)</f>
        <v>1.0884077320485286</v>
      </c>
      <c r="D88" s="33"/>
    </row>
    <row r="89" spans="2:5" ht="12.75">
      <c r="B89" t="s">
        <v>148</v>
      </c>
      <c r="C89" s="33">
        <f>MIN(C83,G83,K83)</f>
        <v>0.9881422924901186</v>
      </c>
      <c r="D89" s="33"/>
      <c r="E89" s="33"/>
    </row>
    <row r="90" ht="13.5" thickBot="1"/>
    <row r="91" spans="2:13" ht="13.5" thickBot="1">
      <c r="B91" s="104" t="s">
        <v>138</v>
      </c>
      <c r="C91" s="105">
        <f>C85</f>
        <v>1.7253278122843339</v>
      </c>
      <c r="E91" s="103" t="s">
        <v>143</v>
      </c>
      <c r="F91">
        <f>IF(C91=C83,C75,0)</f>
        <v>0</v>
      </c>
      <c r="G91">
        <f>IF(C91=G83,G75,0)</f>
        <v>9</v>
      </c>
      <c r="H91">
        <f>IF(C91=K83,K75,0)</f>
        <v>0</v>
      </c>
      <c r="I91" s="32" t="s">
        <v>147</v>
      </c>
      <c r="J91" s="102">
        <f>F91+G91+H91</f>
        <v>9</v>
      </c>
      <c r="K91" s="84" t="s">
        <v>123</v>
      </c>
      <c r="L91" s="113">
        <v>0.84</v>
      </c>
      <c r="M91" s="89"/>
    </row>
    <row r="92" spans="2:13" ht="13.5" thickBot="1">
      <c r="B92" s="104" t="s">
        <v>142</v>
      </c>
      <c r="C92" s="105">
        <f>MIN(C86,C87,C88)</f>
        <v>1.0884077320485286</v>
      </c>
      <c r="E92" s="103" t="s">
        <v>144</v>
      </c>
      <c r="F92">
        <f>IF(C92=C83,C75,0)</f>
        <v>0</v>
      </c>
      <c r="G92">
        <f>IF(C92=G83,G75,0)</f>
        <v>0</v>
      </c>
      <c r="H92">
        <f>IF(C92=K83,K75,0)</f>
        <v>2</v>
      </c>
      <c r="I92" s="32" t="s">
        <v>147</v>
      </c>
      <c r="J92" s="102">
        <f>F92+G92+H92</f>
        <v>2</v>
      </c>
      <c r="K92" s="84" t="s">
        <v>123</v>
      </c>
      <c r="L92" s="113">
        <v>0.84</v>
      </c>
      <c r="M92" s="89"/>
    </row>
    <row r="93" spans="2:13" ht="13.5" thickBot="1">
      <c r="B93" s="104" t="s">
        <v>145</v>
      </c>
      <c r="C93" s="105">
        <f>C89</f>
        <v>0.9881422924901186</v>
      </c>
      <c r="E93" s="103" t="s">
        <v>146</v>
      </c>
      <c r="F93">
        <f>IF(C93=C83,C75,0)</f>
        <v>1</v>
      </c>
      <c r="G93">
        <f>IF(C93=G83,G75,0)</f>
        <v>0</v>
      </c>
      <c r="H93">
        <f>IF(C93=K83,K75,0)</f>
        <v>0</v>
      </c>
      <c r="I93" s="32" t="s">
        <v>147</v>
      </c>
      <c r="J93" s="102">
        <f>F93+G93+H93</f>
        <v>1</v>
      </c>
      <c r="K93" s="84" t="s">
        <v>123</v>
      </c>
      <c r="L93" s="113">
        <v>0.88</v>
      </c>
      <c r="M93" s="89"/>
    </row>
    <row r="94" ht="13.5" thickBot="1"/>
    <row r="95" spans="9:13" ht="13.5" thickBot="1">
      <c r="I95" s="34" t="s">
        <v>155</v>
      </c>
      <c r="J95" s="102">
        <f>J91+J92</f>
        <v>11</v>
      </c>
      <c r="K95" s="84" t="s">
        <v>123</v>
      </c>
      <c r="L95" s="108">
        <v>0.72</v>
      </c>
      <c r="M95" s="89" t="s">
        <v>178</v>
      </c>
    </row>
    <row r="96" spans="9:13" ht="13.5" thickBot="1">
      <c r="I96" s="34" t="s">
        <v>156</v>
      </c>
      <c r="J96" s="102">
        <f>J91+J92+J93</f>
        <v>12</v>
      </c>
      <c r="K96" s="84" t="s">
        <v>123</v>
      </c>
      <c r="L96" s="108">
        <v>0.6</v>
      </c>
      <c r="M96" s="89" t="s">
        <v>178</v>
      </c>
    </row>
    <row r="98" spans="2:11" ht="12.75">
      <c r="B98" t="s">
        <v>138</v>
      </c>
      <c r="C98" s="33">
        <f>C91</f>
        <v>1.7253278122843339</v>
      </c>
      <c r="D98" t="s">
        <v>166</v>
      </c>
      <c r="F98">
        <f>IF(C98=C83,C81,0)</f>
        <v>0</v>
      </c>
      <c r="G98">
        <f>IF(C98=G83,G81,0)</f>
        <v>14.490000000000002</v>
      </c>
      <c r="H98">
        <f>IF(EC98=K83,K81,0)</f>
        <v>0</v>
      </c>
      <c r="I98" s="32" t="s">
        <v>147</v>
      </c>
      <c r="K98" s="33">
        <f>F98+G98+H98</f>
        <v>14.490000000000002</v>
      </c>
    </row>
    <row r="99" spans="2:11" ht="12.75">
      <c r="B99" t="s">
        <v>142</v>
      </c>
      <c r="C99" s="33">
        <f>C92</f>
        <v>1.0884077320485286</v>
      </c>
      <c r="D99" t="s">
        <v>167</v>
      </c>
      <c r="F99">
        <f>IF(C99=C83,C81,0)</f>
        <v>0</v>
      </c>
      <c r="G99">
        <f>IF(C99=G83,G81,0)</f>
        <v>0</v>
      </c>
      <c r="H99">
        <f>IF(C99=K83,K81,0)</f>
        <v>13.7816</v>
      </c>
      <c r="I99" s="32" t="s">
        <v>147</v>
      </c>
      <c r="K99" s="33">
        <f>F99+G99+H99</f>
        <v>13.7816</v>
      </c>
    </row>
    <row r="100" spans="2:11" ht="12.75">
      <c r="B100" t="s">
        <v>145</v>
      </c>
      <c r="C100" s="33">
        <f>C93</f>
        <v>0.9881422924901186</v>
      </c>
      <c r="D100" t="s">
        <v>168</v>
      </c>
      <c r="F100">
        <f>IF(C100=C83,C81,0)</f>
        <v>20.24</v>
      </c>
      <c r="G100">
        <f>IF(C100=G83,G81,0)</f>
        <v>0</v>
      </c>
      <c r="H100">
        <f>IF(C100=K83,K81,0)</f>
        <v>0</v>
      </c>
      <c r="I100" s="32" t="s">
        <v>147</v>
      </c>
      <c r="K100" s="33">
        <f>F100+G100+H100</f>
        <v>20.24</v>
      </c>
    </row>
    <row r="102" spans="2:11" ht="12.75">
      <c r="B102" t="s">
        <v>138</v>
      </c>
      <c r="C102" s="33">
        <f>C91</f>
        <v>1.7253278122843339</v>
      </c>
      <c r="D102" t="s">
        <v>163</v>
      </c>
      <c r="F102">
        <f>IF(C102=C83,D65,0)</f>
        <v>0</v>
      </c>
      <c r="G102">
        <f>IF(C102=G83,H65,0)</f>
        <v>25</v>
      </c>
      <c r="H102">
        <f>IF(C102=K83,L65,0)</f>
        <v>0</v>
      </c>
      <c r="I102" s="32" t="s">
        <v>147</v>
      </c>
      <c r="K102" s="33">
        <f>F102+G102+H102</f>
        <v>25</v>
      </c>
    </row>
    <row r="103" spans="2:11" ht="12.75">
      <c r="B103" t="s">
        <v>142</v>
      </c>
      <c r="C103" s="33">
        <f>C92</f>
        <v>1.0884077320485286</v>
      </c>
      <c r="D103" t="s">
        <v>164</v>
      </c>
      <c r="F103">
        <f>IF(C103=C83,D65,0)</f>
        <v>0</v>
      </c>
      <c r="G103">
        <f>IF(C103=G83,H65,0)</f>
        <v>0</v>
      </c>
      <c r="H103">
        <f>IF(C103=K83,L65,0)</f>
        <v>15</v>
      </c>
      <c r="I103" s="32" t="s">
        <v>147</v>
      </c>
      <c r="K103" s="33">
        <f>F103+G103+H103</f>
        <v>15</v>
      </c>
    </row>
    <row r="104" spans="2:11" ht="12.75">
      <c r="B104" t="s">
        <v>145</v>
      </c>
      <c r="C104" s="33">
        <f>C93</f>
        <v>0.9881422924901186</v>
      </c>
      <c r="D104" t="s">
        <v>165</v>
      </c>
      <c r="F104">
        <f>IF(C104=C83,D65,0)</f>
        <v>20</v>
      </c>
      <c r="G104">
        <f>IF(C104=G83,H65,0)</f>
        <v>0</v>
      </c>
      <c r="H104">
        <f>IF(C104=K83,L65,0)</f>
        <v>0</v>
      </c>
      <c r="I104" s="32" t="s">
        <v>147</v>
      </c>
      <c r="K104" s="33">
        <f>F104+G104+H104</f>
        <v>20</v>
      </c>
    </row>
    <row r="106" spans="2:13" ht="12.75">
      <c r="B106" t="s">
        <v>169</v>
      </c>
      <c r="E106" s="98">
        <f>(K99/L92)*L95</f>
        <v>11.8128</v>
      </c>
      <c r="G106" t="s">
        <v>172</v>
      </c>
      <c r="I106" s="38"/>
      <c r="K106" s="98">
        <f>(K100/L93)*L96</f>
        <v>13.799999999999997</v>
      </c>
      <c r="L106" s="23"/>
      <c r="M106" s="89"/>
    </row>
    <row r="107" spans="2:13" ht="12.75">
      <c r="B107" s="1" t="s">
        <v>162</v>
      </c>
      <c r="D107" s="38"/>
      <c r="E107" s="97">
        <f>K103/E106</f>
        <v>1.2698090207232833</v>
      </c>
      <c r="G107" s="1" t="s">
        <v>173</v>
      </c>
      <c r="I107" s="38"/>
      <c r="K107" s="97">
        <f>K104/K106</f>
        <v>1.4492753623188408</v>
      </c>
      <c r="L107" s="23"/>
      <c r="M107" s="89"/>
    </row>
    <row r="108" spans="2:13" ht="12.75">
      <c r="B108" t="s">
        <v>171</v>
      </c>
      <c r="D108" s="38"/>
      <c r="E108" s="98">
        <f>(K99/L92)*L91</f>
        <v>13.7816</v>
      </c>
      <c r="G108" t="s">
        <v>174</v>
      </c>
      <c r="I108" s="38"/>
      <c r="K108" s="98">
        <f>(K100/L93)*L95</f>
        <v>16.559999999999995</v>
      </c>
      <c r="L108" s="23"/>
      <c r="M108" s="89"/>
    </row>
    <row r="109" spans="2:13" ht="12.75">
      <c r="B109" s="1" t="s">
        <v>170</v>
      </c>
      <c r="D109" s="38"/>
      <c r="E109" s="97">
        <f>K103/E108</f>
        <v>1.0884077320485286</v>
      </c>
      <c r="G109" s="1" t="s">
        <v>175</v>
      </c>
      <c r="I109" s="38"/>
      <c r="K109" s="97">
        <f>K104/K108</f>
        <v>1.207729468599034</v>
      </c>
      <c r="L109" s="23"/>
      <c r="M109" s="89"/>
    </row>
    <row r="110" spans="4:13" ht="12.75">
      <c r="D110" s="1"/>
      <c r="F110" s="38"/>
      <c r="G110" s="97"/>
      <c r="H110" s="23"/>
      <c r="I110" s="89"/>
      <c r="J110" s="38"/>
      <c r="K110" s="96"/>
      <c r="L110" s="23"/>
      <c r="M110" s="89"/>
    </row>
    <row r="111" spans="4:13" ht="12.75">
      <c r="D111" s="1"/>
      <c r="F111" s="38"/>
      <c r="G111" s="97"/>
      <c r="H111" s="23"/>
      <c r="I111" s="89"/>
      <c r="J111" s="38"/>
      <c r="K111" s="96"/>
      <c r="L111" s="23"/>
      <c r="M111" s="89"/>
    </row>
    <row r="112" ht="12.75">
      <c r="B112" t="s">
        <v>176</v>
      </c>
    </row>
    <row r="114" spans="2:13" ht="12.75">
      <c r="B114" s="100" t="s">
        <v>153</v>
      </c>
      <c r="C114" s="33">
        <f>C91</f>
        <v>1.7253278122843339</v>
      </c>
      <c r="D114" s="33" t="s">
        <v>154</v>
      </c>
      <c r="E114" s="99">
        <f>E107</f>
        <v>1.2698090207232833</v>
      </c>
      <c r="F114" s="90" t="s">
        <v>157</v>
      </c>
      <c r="G114" s="33">
        <f>E109</f>
        <v>1.0884077320485286</v>
      </c>
      <c r="H114" s="33" t="s">
        <v>154</v>
      </c>
      <c r="I114" s="99">
        <f>K107</f>
        <v>1.4492753623188408</v>
      </c>
      <c r="J114" s="33"/>
      <c r="K114" s="90" t="s">
        <v>158</v>
      </c>
      <c r="L114" s="99">
        <f>K109</f>
        <v>1.207729468599034</v>
      </c>
      <c r="M114" s="33"/>
    </row>
    <row r="115" ht="13.5" thickBot="1"/>
    <row r="116" spans="2:13" ht="13.5" thickBot="1">
      <c r="B116" s="1" t="s">
        <v>153</v>
      </c>
      <c r="C116" s="94">
        <f>C114+E114-G114+I114-L114</f>
        <v>2.1482749946788955</v>
      </c>
      <c r="E116" s="92" t="s">
        <v>128</v>
      </c>
      <c r="F116" s="1"/>
      <c r="G116" s="91" t="str">
        <f>IF(C116&gt;1,"NO TOLERABLE","TOLERABLE")</f>
        <v>NO TOLERABLE</v>
      </c>
      <c r="I116" s="101" t="s">
        <v>189</v>
      </c>
      <c r="J116" s="1"/>
      <c r="K116" s="101" t="str">
        <f>IF(C116&gt;3,"GRAVE","MODERADO")</f>
        <v>MODERADO</v>
      </c>
      <c r="L116" s="1"/>
      <c r="M116" s="101" t="s">
        <v>190</v>
      </c>
    </row>
    <row r="117" spans="6:9" ht="12.75">
      <c r="F117" t="s">
        <v>182</v>
      </c>
      <c r="I117" t="s">
        <v>183</v>
      </c>
    </row>
    <row r="118" spans="3:9" ht="12.75">
      <c r="C118" s="1" t="s">
        <v>181</v>
      </c>
      <c r="F118" t="s">
        <v>184</v>
      </c>
      <c r="H118" s="34" t="s">
        <v>186</v>
      </c>
      <c r="I118" t="s">
        <v>185</v>
      </c>
    </row>
    <row r="119" spans="6:9" ht="12.75">
      <c r="F119" t="s">
        <v>187</v>
      </c>
      <c r="I119" t="s">
        <v>188</v>
      </c>
    </row>
  </sheetData>
  <sheetProtection sheet="1" objects="1" scenarios="1"/>
  <printOptions/>
  <pageMargins left="0.1968503937007874" right="0.1968503937007874" top="0.7874015748031497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Tradisna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Uriarte</dc:creator>
  <cp:keywords/>
  <dc:description/>
  <cp:lastModifiedBy>Miguel</cp:lastModifiedBy>
  <cp:lastPrinted>2003-02-21T10:33:29Z</cp:lastPrinted>
  <dcterms:created xsi:type="dcterms:W3CDTF">2001-05-17T14:00:49Z</dcterms:created>
  <dcterms:modified xsi:type="dcterms:W3CDTF">2006-01-23T12:52:02Z</dcterms:modified>
  <cp:category/>
  <cp:version/>
  <cp:contentType/>
  <cp:contentStatus/>
</cp:coreProperties>
</file>